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CITAÇÕES DIVERSAS TERRA BRASIL\LICITAÇÃO CORPO DE BOMBEIROS DO DF ADIADA\"/>
    </mc:Choice>
  </mc:AlternateContent>
  <bookViews>
    <workbookView xWindow="270" yWindow="555" windowWidth="20775" windowHeight="9660" activeTab="2"/>
  </bookViews>
  <sheets>
    <sheet name="BDI Edificações" sheetId="1" r:id="rId1"/>
    <sheet name="BDI Equipamentos" sheetId="2" r:id="rId2"/>
    <sheet name="Sintético Desonerado" sheetId="3" r:id="rId3"/>
    <sheet name="Cronograma físico financeiro" sheetId="4" r:id="rId4"/>
  </sheets>
  <definedNames>
    <definedName name="_xlnm.Print_Area" localSheetId="3">'Cronograma físico financeiro'!$A$1:$P$67</definedName>
    <definedName name="_xlnm.Print_Area" localSheetId="2">'Sintético Desonerado'!$A$1:$H$1557</definedName>
  </definedNames>
  <calcPr calcId="162913"/>
</workbook>
</file>

<file path=xl/calcChain.xml><?xml version="1.0" encoding="utf-8"?>
<calcChain xmlns="http://schemas.openxmlformats.org/spreadsheetml/2006/main">
  <c r="P50" i="4" l="1"/>
  <c r="O50" i="4"/>
  <c r="N50" i="4"/>
  <c r="H47" i="4"/>
  <c r="G47" i="4"/>
  <c r="F47" i="4"/>
  <c r="E47" i="4"/>
  <c r="P47" i="4"/>
  <c r="O47" i="4"/>
  <c r="N47" i="4"/>
  <c r="M47" i="4"/>
  <c r="L47" i="4"/>
  <c r="K47" i="4"/>
  <c r="J47" i="4"/>
  <c r="I47" i="4"/>
  <c r="P44" i="4"/>
  <c r="O44" i="4"/>
  <c r="M41" i="4"/>
  <c r="L41" i="4"/>
  <c r="K41" i="4"/>
  <c r="J41" i="4"/>
  <c r="I41" i="4"/>
  <c r="G41" i="4"/>
  <c r="M38" i="4"/>
  <c r="L38" i="4"/>
  <c r="K38" i="4"/>
  <c r="J38" i="4"/>
  <c r="I38" i="4"/>
  <c r="P36" i="4"/>
  <c r="O36" i="4"/>
  <c r="N36" i="4"/>
  <c r="P35" i="4"/>
  <c r="O35" i="4"/>
  <c r="N35" i="4"/>
  <c r="M35" i="4"/>
  <c r="L35" i="4"/>
  <c r="K35" i="4"/>
  <c r="J35" i="4"/>
  <c r="I35" i="4"/>
  <c r="P32" i="4"/>
  <c r="O32" i="4"/>
  <c r="N32" i="4"/>
  <c r="M32" i="4"/>
  <c r="L32" i="4"/>
  <c r="K32" i="4"/>
  <c r="J32" i="4"/>
  <c r="I32" i="4"/>
  <c r="H32" i="4"/>
  <c r="P29" i="4"/>
  <c r="O29" i="4"/>
  <c r="N29" i="4"/>
  <c r="M29" i="4"/>
  <c r="L29" i="4"/>
  <c r="K29" i="4"/>
  <c r="J29" i="4"/>
  <c r="I29" i="4"/>
  <c r="H29" i="4"/>
  <c r="P26" i="4"/>
  <c r="O26" i="4"/>
  <c r="N26" i="4"/>
  <c r="M26" i="4"/>
  <c r="L26" i="4"/>
  <c r="K26" i="4"/>
  <c r="J26" i="4"/>
  <c r="I26" i="4"/>
  <c r="H26" i="4"/>
  <c r="O23" i="4"/>
  <c r="N23" i="4"/>
  <c r="M23" i="4"/>
  <c r="L23" i="4"/>
  <c r="K23" i="4"/>
  <c r="J23" i="4"/>
  <c r="I23" i="4"/>
  <c r="H23" i="4"/>
  <c r="G1397" i="3" l="1"/>
  <c r="G1537" i="3"/>
  <c r="G1534" i="3"/>
  <c r="G1533" i="3"/>
  <c r="G1529" i="3"/>
  <c r="G1528" i="3"/>
  <c r="G1527" i="3"/>
  <c r="G1526" i="3"/>
  <c r="G1525" i="3"/>
  <c r="G1520" i="3"/>
  <c r="G1517" i="3"/>
  <c r="G1516" i="3"/>
  <c r="G1515" i="3"/>
  <c r="G1514" i="3"/>
  <c r="G1511" i="3"/>
  <c r="G1510" i="3"/>
  <c r="G1509" i="3"/>
  <c r="G1508" i="3"/>
  <c r="G1505" i="3"/>
  <c r="G1504" i="3"/>
  <c r="G1503" i="3"/>
  <c r="G1502" i="3"/>
  <c r="G1501" i="3"/>
  <c r="G1500" i="3"/>
  <c r="G1499" i="3"/>
  <c r="G1496" i="3"/>
  <c r="G1495" i="3"/>
  <c r="G1489" i="3"/>
  <c r="G1488" i="3"/>
  <c r="G1487" i="3"/>
  <c r="G1486" i="3"/>
  <c r="G1481" i="3"/>
  <c r="G1477" i="3"/>
  <c r="G1476" i="3"/>
  <c r="G1475" i="3"/>
  <c r="G1474" i="3"/>
  <c r="G1473" i="3"/>
  <c r="G1469" i="3"/>
  <c r="G1468" i="3"/>
  <c r="G1467" i="3"/>
  <c r="G1466" i="3"/>
  <c r="G1465" i="3"/>
  <c r="G1464" i="3"/>
  <c r="G1463" i="3"/>
  <c r="G1462" i="3"/>
  <c r="G1461" i="3"/>
  <c r="G1458" i="3"/>
  <c r="G1457" i="3"/>
  <c r="G1456" i="3"/>
  <c r="G1455" i="3"/>
  <c r="G1454" i="3"/>
  <c r="G1453" i="3"/>
  <c r="G1452" i="3"/>
  <c r="G1451" i="3"/>
  <c r="G1450" i="3"/>
  <c r="G1449" i="3"/>
  <c r="G1448" i="3"/>
  <c r="G1447" i="3"/>
  <c r="G1446" i="3"/>
  <c r="G1445" i="3"/>
  <c r="G1444" i="3"/>
  <c r="G1443" i="3"/>
  <c r="G1442" i="3"/>
  <c r="G1441" i="3"/>
  <c r="G1440" i="3"/>
  <c r="G1439" i="3"/>
  <c r="G1438" i="3"/>
  <c r="G1437" i="3"/>
  <c r="G1434" i="3"/>
  <c r="G1433" i="3"/>
  <c r="G1432" i="3"/>
  <c r="G1429" i="3"/>
  <c r="G1428" i="3"/>
  <c r="G1425" i="3"/>
  <c r="G1424" i="3"/>
  <c r="G1423" i="3"/>
  <c r="G1422" i="3"/>
  <c r="G1421" i="3"/>
  <c r="G1420" i="3"/>
  <c r="G1419" i="3"/>
  <c r="G1418" i="3"/>
  <c r="G1417" i="3"/>
  <c r="G1416" i="3"/>
  <c r="G1411" i="3"/>
  <c r="G1410" i="3"/>
  <c r="G1407" i="3"/>
  <c r="G1406" i="3"/>
  <c r="G1405" i="3"/>
  <c r="G1404" i="3"/>
  <c r="G1403" i="3"/>
  <c r="G1394" i="3"/>
  <c r="G1393" i="3"/>
  <c r="G1389" i="3"/>
  <c r="G1388" i="3"/>
  <c r="G1387" i="3"/>
  <c r="G1386" i="3"/>
  <c r="G1385" i="3"/>
  <c r="G1384" i="3"/>
  <c r="G1383" i="3"/>
  <c r="G1382" i="3"/>
  <c r="G1381" i="3"/>
  <c r="G1380" i="3"/>
  <c r="G1379" i="3"/>
  <c r="G1378" i="3"/>
  <c r="G1377" i="3"/>
  <c r="G1376" i="3"/>
  <c r="G1373" i="3"/>
  <c r="G1372" i="3"/>
  <c r="G1371" i="3"/>
  <c r="G1370" i="3"/>
  <c r="G1369" i="3"/>
  <c r="G1368" i="3"/>
  <c r="G1367" i="3"/>
  <c r="G1366" i="3"/>
  <c r="G1365" i="3"/>
  <c r="G1364" i="3"/>
  <c r="G1363" i="3"/>
  <c r="G1362" i="3"/>
  <c r="G1361" i="3"/>
  <c r="G1360" i="3"/>
  <c r="G1359" i="3"/>
  <c r="G1358" i="3"/>
  <c r="G1357" i="3"/>
  <c r="G1356" i="3"/>
  <c r="G1355" i="3"/>
  <c r="G1354" i="3"/>
  <c r="G1351" i="3"/>
  <c r="G1350" i="3"/>
  <c r="G1349" i="3"/>
  <c r="G1348" i="3"/>
  <c r="G1347" i="3"/>
  <c r="G1346" i="3"/>
  <c r="G1345" i="3"/>
  <c r="G1342" i="3"/>
  <c r="G1341" i="3"/>
  <c r="G1340" i="3"/>
  <c r="G1339" i="3"/>
  <c r="G1338" i="3"/>
  <c r="G1337" i="3"/>
  <c r="G1336" i="3"/>
  <c r="G1335" i="3"/>
  <c r="G1334" i="3"/>
  <c r="G1333" i="3"/>
  <c r="G1332" i="3"/>
  <c r="G1331" i="3"/>
  <c r="G1330" i="3"/>
  <c r="G1329" i="3"/>
  <c r="G1328" i="3"/>
  <c r="G1327" i="3"/>
  <c r="G1326" i="3"/>
  <c r="G1319" i="3"/>
  <c r="G1318" i="3"/>
  <c r="G1317" i="3"/>
  <c r="G1316" i="3"/>
  <c r="G1315" i="3"/>
  <c r="G1312" i="3"/>
  <c r="G1309" i="3"/>
  <c r="G1308" i="3"/>
  <c r="G1307" i="3"/>
  <c r="G1306" i="3"/>
  <c r="G1305" i="3"/>
  <c r="G1304" i="3"/>
  <c r="G1303" i="3"/>
  <c r="G1302" i="3"/>
  <c r="G1301" i="3"/>
  <c r="G1300" i="3"/>
  <c r="G1299" i="3"/>
  <c r="G1296" i="3"/>
  <c r="G1295" i="3"/>
  <c r="G1294" i="3"/>
  <c r="G1293" i="3"/>
  <c r="G1292" i="3"/>
  <c r="G1289" i="3"/>
  <c r="G1288" i="3"/>
  <c r="G1287" i="3"/>
  <c r="G1286" i="3"/>
  <c r="G1285" i="3"/>
  <c r="G1282" i="3"/>
  <c r="G1281" i="3"/>
  <c r="G1280" i="3"/>
  <c r="G1279" i="3"/>
  <c r="G1278" i="3"/>
  <c r="G1277" i="3"/>
  <c r="G1276" i="3"/>
  <c r="G1272" i="3"/>
  <c r="G1271" i="3"/>
  <c r="G1270" i="3"/>
  <c r="G1269" i="3"/>
  <c r="G1268" i="3"/>
  <c r="G1267" i="3"/>
  <c r="G1266" i="3"/>
  <c r="G1263" i="3"/>
  <c r="G1262" i="3"/>
  <c r="G1261" i="3"/>
  <c r="G1260" i="3"/>
  <c r="G1259" i="3"/>
  <c r="G1258" i="3"/>
  <c r="G1257" i="3"/>
  <c r="G1256" i="3"/>
  <c r="G1248" i="3"/>
  <c r="G1247" i="3"/>
  <c r="G1246" i="3"/>
  <c r="G1245" i="3"/>
  <c r="G1240" i="3"/>
  <c r="G1239" i="3"/>
  <c r="G1238" i="3"/>
  <c r="G1237" i="3"/>
  <c r="G1236" i="3"/>
  <c r="G1235" i="3"/>
  <c r="G1234" i="3"/>
  <c r="G1233" i="3"/>
  <c r="G1232" i="3"/>
  <c r="G1231" i="3"/>
  <c r="G1230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4" i="3"/>
  <c r="G1203" i="3"/>
  <c r="G1202" i="3"/>
  <c r="G1201" i="3"/>
  <c r="G1200" i="3"/>
  <c r="G1197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78" i="3"/>
  <c r="G1177" i="3"/>
  <c r="G1176" i="3"/>
  <c r="G1175" i="3"/>
  <c r="G1174" i="3"/>
  <c r="G1173" i="3"/>
  <c r="G1172" i="3"/>
  <c r="G1171" i="3"/>
  <c r="G1170" i="3"/>
  <c r="G1167" i="3"/>
  <c r="G1166" i="3"/>
  <c r="G1165" i="3"/>
  <c r="G1164" i="3"/>
  <c r="G1163" i="3"/>
  <c r="G1162" i="3"/>
  <c r="G1161" i="3"/>
  <c r="G1158" i="3"/>
  <c r="G1157" i="3"/>
  <c r="G1156" i="3"/>
  <c r="G1155" i="3"/>
  <c r="G1154" i="3"/>
  <c r="G1153" i="3"/>
  <c r="G1152" i="3"/>
  <c r="G1151" i="3"/>
  <c r="G1147" i="3"/>
  <c r="G1146" i="3"/>
  <c r="G1145" i="3"/>
  <c r="G1144" i="3"/>
  <c r="G1141" i="3"/>
  <c r="G1140" i="3"/>
  <c r="G1139" i="3"/>
  <c r="G1138" i="3"/>
  <c r="G1137" i="3"/>
  <c r="G1136" i="3"/>
  <c r="G1133" i="3"/>
  <c r="G1132" i="3"/>
  <c r="G1131" i="3"/>
  <c r="G1130" i="3"/>
  <c r="G1129" i="3"/>
  <c r="G1128" i="3"/>
  <c r="G1125" i="3"/>
  <c r="G1124" i="3"/>
  <c r="G1123" i="3"/>
  <c r="G1122" i="3"/>
  <c r="G1121" i="3"/>
  <c r="G1120" i="3"/>
  <c r="G1117" i="3"/>
  <c r="G1116" i="3"/>
  <c r="G1115" i="3"/>
  <c r="G1114" i="3"/>
  <c r="G1113" i="3"/>
  <c r="G1112" i="3"/>
  <c r="G1111" i="3"/>
  <c r="G1108" i="3"/>
  <c r="G1107" i="3"/>
  <c r="G1106" i="3"/>
  <c r="G1105" i="3"/>
  <c r="G1104" i="3"/>
  <c r="G1103" i="3"/>
  <c r="G1100" i="3"/>
  <c r="G1099" i="3"/>
  <c r="G1098" i="3"/>
  <c r="G1097" i="3"/>
  <c r="G1096" i="3"/>
  <c r="G1095" i="3"/>
  <c r="G1092" i="3"/>
  <c r="G1091" i="3"/>
  <c r="G1090" i="3"/>
  <c r="G1089" i="3"/>
  <c r="G1088" i="3"/>
  <c r="G1087" i="3"/>
  <c r="G1086" i="3"/>
  <c r="G1085" i="3"/>
  <c r="G1075" i="3"/>
  <c r="G1074" i="3"/>
  <c r="G1073" i="3"/>
  <c r="G1072" i="3"/>
  <c r="G1071" i="3"/>
  <c r="G1070" i="3"/>
  <c r="G1069" i="3"/>
  <c r="G1068" i="3"/>
  <c r="G1065" i="3"/>
  <c r="G1064" i="3"/>
  <c r="G1063" i="3"/>
  <c r="G1062" i="3"/>
  <c r="G1059" i="3"/>
  <c r="G1058" i="3"/>
  <c r="G1057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29" i="3"/>
  <c r="G1026" i="3"/>
  <c r="G1025" i="3"/>
  <c r="G1024" i="3"/>
  <c r="G1023" i="3"/>
  <c r="G1022" i="3"/>
  <c r="G1021" i="3"/>
  <c r="G1020" i="3"/>
  <c r="G1019" i="3"/>
  <c r="G1018" i="3"/>
  <c r="G1013" i="3"/>
  <c r="G1010" i="3"/>
  <c r="G1009" i="3"/>
  <c r="G1008" i="3"/>
  <c r="G1007" i="3"/>
  <c r="G1006" i="3"/>
  <c r="G1005" i="3"/>
  <c r="G1004" i="3"/>
  <c r="G1003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7" i="3"/>
  <c r="G956" i="3"/>
  <c r="G955" i="3"/>
  <c r="G954" i="3"/>
  <c r="G953" i="3"/>
  <c r="G952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0" i="3"/>
  <c r="G909" i="3"/>
  <c r="G908" i="3"/>
  <c r="G905" i="3"/>
  <c r="G904" i="3"/>
  <c r="G903" i="3"/>
  <c r="G902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38" i="3"/>
  <c r="G837" i="3"/>
  <c r="G836" i="3"/>
  <c r="G835" i="3"/>
  <c r="G832" i="3"/>
  <c r="G829" i="3"/>
  <c r="G828" i="3"/>
  <c r="G827" i="3"/>
  <c r="G826" i="3"/>
  <c r="G825" i="3"/>
  <c r="G824" i="3"/>
  <c r="G823" i="3"/>
  <c r="G818" i="3"/>
  <c r="G817" i="3"/>
  <c r="G814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4" i="3" l="1"/>
  <c r="G683" i="3"/>
  <c r="G676" i="3"/>
  <c r="G672" i="3"/>
  <c r="G671" i="3"/>
  <c r="G668" i="3"/>
  <c r="G664" i="3"/>
  <c r="G663" i="3"/>
  <c r="G662" i="3"/>
  <c r="G661" i="3"/>
  <c r="G660" i="3"/>
  <c r="G659" i="3"/>
  <c r="G658" i="3"/>
  <c r="G652" i="3"/>
  <c r="G651" i="3"/>
  <c r="G650" i="3"/>
  <c r="G649" i="3"/>
  <c r="G648" i="3"/>
  <c r="G645" i="3"/>
  <c r="G644" i="3"/>
  <c r="G641" i="3"/>
  <c r="G638" i="3"/>
  <c r="G633" i="3"/>
  <c r="G630" i="3"/>
  <c r="G627" i="3"/>
  <c r="G624" i="3"/>
  <c r="G618" i="3"/>
  <c r="G617" i="3"/>
  <c r="G614" i="3"/>
  <c r="G613" i="3"/>
  <c r="G612" i="3"/>
  <c r="G607" i="3"/>
  <c r="G606" i="3"/>
  <c r="G603" i="3"/>
  <c r="G600" i="3"/>
  <c r="G599" i="3"/>
  <c r="G596" i="3"/>
  <c r="G595" i="3"/>
  <c r="G592" i="3"/>
  <c r="G591" i="3"/>
  <c r="G587" i="3"/>
  <c r="G586" i="3"/>
  <c r="G583" i="3"/>
  <c r="G582" i="3"/>
  <c r="G578" i="3"/>
  <c r="G577" i="3"/>
  <c r="G576" i="3"/>
  <c r="G575" i="3"/>
  <c r="G572" i="3"/>
  <c r="G568" i="3"/>
  <c r="G567" i="3"/>
  <c r="G564" i="3"/>
  <c r="G563" i="3"/>
  <c r="G562" i="3"/>
  <c r="G561" i="3"/>
  <c r="G560" i="3"/>
  <c r="G556" i="3"/>
  <c r="G552" i="3"/>
  <c r="G551" i="3"/>
  <c r="G550" i="3"/>
  <c r="G549" i="3"/>
  <c r="G548" i="3"/>
  <c r="G545" i="3"/>
  <c r="G544" i="3"/>
  <c r="G543" i="3"/>
  <c r="G534" i="3"/>
  <c r="G533" i="3"/>
  <c r="G532" i="3"/>
  <c r="G531" i="3"/>
  <c r="G530" i="3"/>
  <c r="G529" i="3"/>
  <c r="G528" i="3"/>
  <c r="G527" i="3"/>
  <c r="G526" i="3"/>
  <c r="G525" i="3"/>
  <c r="G524" i="3"/>
  <c r="G521" i="3"/>
  <c r="G520" i="3"/>
  <c r="G517" i="3"/>
  <c r="G516" i="3"/>
  <c r="G513" i="3"/>
  <c r="G512" i="3"/>
  <c r="G507" i="3"/>
  <c r="G504" i="3"/>
  <c r="G503" i="3"/>
  <c r="G500" i="3"/>
  <c r="G497" i="3"/>
  <c r="G494" i="3"/>
  <c r="G493" i="3"/>
  <c r="G487" i="3"/>
  <c r="G486" i="3"/>
  <c r="G483" i="3"/>
  <c r="G482" i="3"/>
  <c r="G481" i="3"/>
  <c r="G476" i="3"/>
  <c r="G473" i="3"/>
  <c r="G470" i="3"/>
  <c r="G469" i="3"/>
  <c r="G466" i="3"/>
  <c r="G465" i="3"/>
  <c r="G462" i="3"/>
  <c r="G461" i="3"/>
  <c r="G457" i="3"/>
  <c r="G456" i="3"/>
  <c r="G453" i="3"/>
  <c r="G452" i="3"/>
  <c r="G449" i="3"/>
  <c r="G448" i="3"/>
  <c r="G447" i="3"/>
  <c r="G446" i="3"/>
  <c r="G445" i="3"/>
  <c r="G441" i="3"/>
  <c r="G440" i="3"/>
  <c r="G439" i="3"/>
  <c r="G438" i="3"/>
  <c r="G437" i="3"/>
  <c r="G434" i="3"/>
  <c r="G430" i="3"/>
  <c r="G429" i="3"/>
  <c r="G428" i="3"/>
  <c r="G427" i="3"/>
  <c r="G424" i="3"/>
  <c r="G423" i="3"/>
  <c r="G422" i="3"/>
  <c r="G421" i="3"/>
  <c r="G420" i="3"/>
  <c r="G419" i="3"/>
  <c r="G418" i="3"/>
  <c r="G417" i="3"/>
  <c r="G416" i="3"/>
  <c r="G415" i="3"/>
  <c r="G411" i="3"/>
  <c r="G407" i="3"/>
  <c r="G404" i="3"/>
  <c r="G403" i="3"/>
  <c r="G402" i="3"/>
  <c r="G401" i="3"/>
  <c r="G400" i="3"/>
  <c r="G399" i="3"/>
  <c r="G396" i="3"/>
  <c r="G395" i="3"/>
  <c r="G394" i="3"/>
  <c r="G385" i="3"/>
  <c r="G384" i="3"/>
  <c r="G381" i="3"/>
  <c r="G380" i="3"/>
  <c r="G376" i="3"/>
  <c r="G375" i="3"/>
  <c r="G374" i="3"/>
  <c r="G373" i="3"/>
  <c r="G372" i="3"/>
  <c r="G371" i="3"/>
  <c r="G368" i="3"/>
  <c r="G367" i="3"/>
  <c r="G366" i="3"/>
  <c r="G365" i="3"/>
  <c r="G364" i="3"/>
  <c r="G361" i="3"/>
  <c r="G360" i="3"/>
  <c r="G359" i="3"/>
  <c r="G358" i="3"/>
  <c r="G357" i="3"/>
  <c r="G354" i="3"/>
  <c r="G353" i="3"/>
  <c r="G352" i="3"/>
  <c r="G351" i="3"/>
  <c r="G350" i="3"/>
  <c r="G349" i="3"/>
  <c r="G348" i="3"/>
  <c r="G345" i="3"/>
  <c r="G344" i="3"/>
  <c r="G343" i="3"/>
  <c r="G342" i="3"/>
  <c r="G339" i="3"/>
  <c r="G338" i="3"/>
  <c r="G337" i="3"/>
  <c r="G336" i="3"/>
  <c r="G335" i="3"/>
  <c r="G334" i="3"/>
  <c r="G333" i="3"/>
  <c r="G330" i="3"/>
  <c r="G329" i="3"/>
  <c r="G328" i="3"/>
  <c r="G327" i="3"/>
  <c r="G326" i="3"/>
  <c r="G325" i="3"/>
  <c r="G322" i="3"/>
  <c r="G321" i="3"/>
  <c r="G320" i="3"/>
  <c r="G319" i="3"/>
  <c r="G318" i="3"/>
  <c r="G317" i="3"/>
  <c r="G316" i="3"/>
  <c r="G315" i="3"/>
  <c r="G314" i="3"/>
  <c r="G313" i="3"/>
  <c r="G312" i="3"/>
  <c r="G309" i="3"/>
  <c r="G308" i="3"/>
  <c r="G307" i="3"/>
  <c r="G306" i="3"/>
  <c r="G305" i="3"/>
  <c r="G304" i="3"/>
  <c r="G299" i="3"/>
  <c r="G296" i="3"/>
  <c r="G295" i="3"/>
  <c r="G294" i="3"/>
  <c r="G293" i="3"/>
  <c r="G292" i="3"/>
  <c r="G291" i="3"/>
  <c r="G288" i="3"/>
  <c r="G285" i="3"/>
  <c r="G284" i="3"/>
  <c r="G283" i="3"/>
  <c r="G282" i="3"/>
  <c r="G277" i="3"/>
  <c r="G276" i="3"/>
  <c r="G273" i="3"/>
  <c r="G272" i="3"/>
  <c r="G269" i="3"/>
  <c r="G268" i="3"/>
  <c r="G262" i="3"/>
  <c r="G261" i="3"/>
  <c r="G258" i="3"/>
  <c r="G254" i="3"/>
  <c r="G253" i="3"/>
  <c r="G252" i="3"/>
  <c r="G251" i="3"/>
  <c r="G250" i="3"/>
  <c r="G249" i="3"/>
  <c r="G246" i="3"/>
  <c r="G245" i="3"/>
  <c r="G244" i="3"/>
  <c r="G243" i="3"/>
  <c r="G242" i="3"/>
  <c r="G241" i="3"/>
  <c r="G240" i="3"/>
  <c r="G239" i="3"/>
  <c r="G238" i="3"/>
  <c r="G235" i="3"/>
  <c r="G234" i="3"/>
  <c r="G233" i="3"/>
  <c r="G232" i="3"/>
  <c r="G231" i="3"/>
  <c r="G230" i="3"/>
  <c r="G229" i="3"/>
  <c r="G226" i="3"/>
  <c r="G225" i="3"/>
  <c r="G224" i="3"/>
  <c r="G223" i="3"/>
  <c r="G222" i="3"/>
  <c r="G221" i="3"/>
  <c r="G220" i="3"/>
  <c r="G217" i="3"/>
  <c r="G216" i="3"/>
  <c r="G215" i="3"/>
  <c r="G214" i="3"/>
  <c r="G213" i="3"/>
  <c r="G212" i="3"/>
  <c r="G211" i="3"/>
  <c r="G208" i="3"/>
  <c r="G207" i="3"/>
  <c r="G206" i="3"/>
  <c r="G205" i="3"/>
  <c r="G204" i="3"/>
  <c r="G203" i="3"/>
  <c r="G202" i="3"/>
  <c r="G201" i="3"/>
  <c r="G198" i="3"/>
  <c r="G197" i="3"/>
  <c r="G196" i="3"/>
  <c r="G195" i="3"/>
  <c r="G194" i="3"/>
  <c r="G193" i="3"/>
  <c r="G192" i="3"/>
  <c r="G191" i="3"/>
  <c r="G188" i="3"/>
  <c r="G187" i="3"/>
  <c r="G186" i="3"/>
  <c r="G185" i="3"/>
  <c r="G184" i="3"/>
  <c r="G183" i="3"/>
  <c r="G182" i="3"/>
  <c r="G181" i="3"/>
  <c r="G178" i="3"/>
  <c r="G177" i="3"/>
  <c r="G176" i="3"/>
  <c r="G175" i="3"/>
  <c r="G174" i="3"/>
  <c r="G173" i="3"/>
  <c r="G172" i="3"/>
  <c r="G171" i="3"/>
  <c r="G170" i="3"/>
  <c r="G169" i="3"/>
  <c r="G168" i="3"/>
  <c r="G165" i="3" l="1"/>
  <c r="G164" i="3"/>
  <c r="G163" i="3"/>
  <c r="G162" i="3"/>
  <c r="G161" i="3"/>
  <c r="G160" i="3"/>
  <c r="G159" i="3"/>
  <c r="G154" i="3"/>
  <c r="G151" i="3"/>
  <c r="G150" i="3"/>
  <c r="G149" i="3"/>
  <c r="G148" i="3"/>
  <c r="G147" i="3"/>
  <c r="G146" i="3"/>
  <c r="G143" i="3"/>
  <c r="G140" i="3"/>
  <c r="G139" i="3"/>
  <c r="G138" i="3"/>
  <c r="G137" i="3"/>
  <c r="G132" i="3"/>
  <c r="G131" i="3"/>
  <c r="G128" i="3"/>
  <c r="G127" i="3"/>
  <c r="G124" i="3"/>
  <c r="G123" i="3"/>
  <c r="G116" i="3"/>
  <c r="G115" i="3"/>
  <c r="G114" i="3"/>
  <c r="G113" i="3"/>
  <c r="G112" i="3"/>
  <c r="G111" i="3"/>
  <c r="G107" i="3"/>
  <c r="G104" i="3"/>
  <c r="G103" i="3"/>
  <c r="G102" i="3"/>
  <c r="G101" i="3"/>
  <c r="G98" i="3"/>
  <c r="G97" i="3"/>
  <c r="G96" i="3"/>
  <c r="G93" i="3"/>
  <c r="G92" i="3"/>
  <c r="G91" i="3"/>
  <c r="G88" i="3"/>
  <c r="G87" i="3"/>
  <c r="G82" i="3"/>
  <c r="G81" i="3"/>
  <c r="G80" i="3"/>
  <c r="G79" i="3"/>
  <c r="G78" i="3"/>
  <c r="G75" i="3"/>
  <c r="G74" i="3"/>
  <c r="G73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0" i="3"/>
  <c r="G49" i="3"/>
  <c r="G48" i="3"/>
  <c r="G47" i="3"/>
  <c r="G46" i="3"/>
  <c r="G45" i="3"/>
  <c r="G44" i="3"/>
  <c r="G43" i="3"/>
  <c r="G40" i="3"/>
  <c r="G36" i="3"/>
  <c r="G35" i="3"/>
  <c r="G32" i="3"/>
  <c r="G31" i="3"/>
  <c r="G25" i="3"/>
  <c r="G26" i="3"/>
  <c r="G27" i="3"/>
  <c r="G28" i="3"/>
  <c r="G24" i="3"/>
  <c r="M50" i="4" l="1"/>
  <c r="L50" i="4"/>
  <c r="K50" i="4"/>
  <c r="J50" i="4"/>
  <c r="I50" i="4"/>
  <c r="H50" i="4"/>
  <c r="G50" i="4"/>
  <c r="F50" i="4"/>
  <c r="E50" i="4"/>
  <c r="B50" i="4"/>
  <c r="R49" i="4"/>
  <c r="B47" i="4"/>
  <c r="R46" i="4"/>
  <c r="N44" i="4"/>
  <c r="M44" i="4"/>
  <c r="L44" i="4"/>
  <c r="K44" i="4"/>
  <c r="J44" i="4"/>
  <c r="I44" i="4"/>
  <c r="H44" i="4"/>
  <c r="G44" i="4"/>
  <c r="F44" i="4"/>
  <c r="E44" i="4"/>
  <c r="B44" i="4"/>
  <c r="R43" i="4"/>
  <c r="P41" i="4"/>
  <c r="O41" i="4"/>
  <c r="N41" i="4"/>
  <c r="H41" i="4"/>
  <c r="F41" i="4"/>
  <c r="E41" i="4"/>
  <c r="B41" i="4"/>
  <c r="R40" i="4"/>
  <c r="P38" i="4"/>
  <c r="O38" i="4"/>
  <c r="N38" i="4"/>
  <c r="H38" i="4"/>
  <c r="G38" i="4"/>
  <c r="F38" i="4"/>
  <c r="E38" i="4"/>
  <c r="B38" i="4"/>
  <c r="R37" i="4"/>
  <c r="H35" i="4"/>
  <c r="G35" i="4"/>
  <c r="F35" i="4"/>
  <c r="E35" i="4"/>
  <c r="B35" i="4"/>
  <c r="R34" i="4"/>
  <c r="G32" i="4"/>
  <c r="F32" i="4"/>
  <c r="E32" i="4"/>
  <c r="B32" i="4"/>
  <c r="R31" i="4"/>
  <c r="G29" i="4"/>
  <c r="F29" i="4"/>
  <c r="E29" i="4"/>
  <c r="B29" i="4"/>
  <c r="R28" i="4"/>
  <c r="G26" i="4"/>
  <c r="F26" i="4"/>
  <c r="E26" i="4"/>
  <c r="B26" i="4"/>
  <c r="R25" i="4"/>
  <c r="P23" i="4"/>
  <c r="G23" i="4"/>
  <c r="F23" i="4"/>
  <c r="E23" i="4"/>
  <c r="B23" i="4"/>
  <c r="R22" i="4"/>
  <c r="P20" i="4"/>
  <c r="O20" i="4"/>
  <c r="N20" i="4"/>
  <c r="M20" i="4"/>
  <c r="L20" i="4"/>
  <c r="K20" i="4"/>
  <c r="J20" i="4"/>
  <c r="I20" i="4"/>
  <c r="H20" i="4"/>
  <c r="G20" i="4"/>
  <c r="F20" i="4"/>
  <c r="E20" i="4"/>
  <c r="B20" i="4"/>
  <c r="R19" i="4"/>
  <c r="F1537" i="3"/>
  <c r="H1537" i="3" s="1"/>
  <c r="G1538" i="3" s="1"/>
  <c r="F1534" i="3"/>
  <c r="H1534" i="3" s="1"/>
  <c r="F1533" i="3"/>
  <c r="H1533" i="3" s="1"/>
  <c r="F1529" i="3"/>
  <c r="H1529" i="3" s="1"/>
  <c r="F1528" i="3"/>
  <c r="H1528" i="3" s="1"/>
  <c r="F1527" i="3"/>
  <c r="H1527" i="3" s="1"/>
  <c r="F1526" i="3"/>
  <c r="H1526" i="3" s="1"/>
  <c r="F1525" i="3"/>
  <c r="H1525" i="3" s="1"/>
  <c r="F1520" i="3"/>
  <c r="H1520" i="3" s="1"/>
  <c r="G1521" i="3" s="1"/>
  <c r="F1517" i="3"/>
  <c r="H1517" i="3" s="1"/>
  <c r="F1516" i="3"/>
  <c r="H1516" i="3" s="1"/>
  <c r="F1515" i="3"/>
  <c r="H1515" i="3" s="1"/>
  <c r="F1514" i="3"/>
  <c r="H1514" i="3" s="1"/>
  <c r="F1511" i="3"/>
  <c r="H1511" i="3" s="1"/>
  <c r="F1510" i="3"/>
  <c r="H1510" i="3" s="1"/>
  <c r="F1509" i="3"/>
  <c r="H1509" i="3" s="1"/>
  <c r="F1508" i="3"/>
  <c r="H1508" i="3" s="1"/>
  <c r="F1505" i="3"/>
  <c r="H1505" i="3" s="1"/>
  <c r="F1504" i="3"/>
  <c r="H1504" i="3" s="1"/>
  <c r="F1503" i="3"/>
  <c r="H1503" i="3" s="1"/>
  <c r="F1502" i="3"/>
  <c r="H1502" i="3" s="1"/>
  <c r="F1501" i="3"/>
  <c r="H1501" i="3" s="1"/>
  <c r="F1500" i="3"/>
  <c r="H1500" i="3" s="1"/>
  <c r="F1499" i="3"/>
  <c r="H1499" i="3" s="1"/>
  <c r="F1496" i="3"/>
  <c r="H1496" i="3" s="1"/>
  <c r="F1495" i="3"/>
  <c r="H1495" i="3" s="1"/>
  <c r="H1489" i="3"/>
  <c r="F1488" i="3"/>
  <c r="H1488" i="3" s="1"/>
  <c r="F1487" i="3"/>
  <c r="H1487" i="3" s="1"/>
  <c r="F1486" i="3"/>
  <c r="H1486" i="3" s="1"/>
  <c r="F1481" i="3"/>
  <c r="H1481" i="3" s="1"/>
  <c r="G1482" i="3" s="1"/>
  <c r="F1477" i="3"/>
  <c r="H1477" i="3" s="1"/>
  <c r="F1476" i="3"/>
  <c r="H1476" i="3" s="1"/>
  <c r="F1475" i="3"/>
  <c r="H1475" i="3" s="1"/>
  <c r="F1474" i="3"/>
  <c r="H1474" i="3" s="1"/>
  <c r="F1473" i="3"/>
  <c r="H1473" i="3" s="1"/>
  <c r="H1469" i="3"/>
  <c r="H1468" i="3"/>
  <c r="H1467" i="3"/>
  <c r="H1466" i="3"/>
  <c r="H1465" i="3"/>
  <c r="H1464" i="3"/>
  <c r="H1463" i="3"/>
  <c r="H1462" i="3"/>
  <c r="H1461" i="3"/>
  <c r="F1458" i="3"/>
  <c r="H1458" i="3" s="1"/>
  <c r="F1457" i="3"/>
  <c r="H1457" i="3" s="1"/>
  <c r="F1456" i="3"/>
  <c r="H1456" i="3" s="1"/>
  <c r="F1455" i="3"/>
  <c r="H1455" i="3" s="1"/>
  <c r="F1454" i="3"/>
  <c r="H1454" i="3" s="1"/>
  <c r="F1453" i="3"/>
  <c r="H1453" i="3" s="1"/>
  <c r="F1452" i="3"/>
  <c r="H1452" i="3" s="1"/>
  <c r="F1451" i="3"/>
  <c r="H1451" i="3" s="1"/>
  <c r="F1450" i="3"/>
  <c r="H1450" i="3" s="1"/>
  <c r="F1449" i="3"/>
  <c r="H1449" i="3" s="1"/>
  <c r="F1448" i="3"/>
  <c r="H1448" i="3" s="1"/>
  <c r="F1447" i="3"/>
  <c r="H1447" i="3" s="1"/>
  <c r="F1446" i="3"/>
  <c r="H1446" i="3" s="1"/>
  <c r="F1445" i="3"/>
  <c r="H1445" i="3" s="1"/>
  <c r="F1444" i="3"/>
  <c r="H1444" i="3" s="1"/>
  <c r="F1443" i="3"/>
  <c r="H1443" i="3" s="1"/>
  <c r="F1442" i="3"/>
  <c r="H1442" i="3" s="1"/>
  <c r="F1441" i="3"/>
  <c r="H1441" i="3" s="1"/>
  <c r="F1440" i="3"/>
  <c r="H1440" i="3" s="1"/>
  <c r="F1439" i="3"/>
  <c r="H1439" i="3" s="1"/>
  <c r="F1438" i="3"/>
  <c r="H1438" i="3" s="1"/>
  <c r="F1437" i="3"/>
  <c r="H1437" i="3" s="1"/>
  <c r="F1434" i="3"/>
  <c r="H1434" i="3" s="1"/>
  <c r="F1433" i="3"/>
  <c r="H1433" i="3" s="1"/>
  <c r="F1432" i="3"/>
  <c r="H1432" i="3" s="1"/>
  <c r="F1429" i="3"/>
  <c r="H1429" i="3" s="1"/>
  <c r="F1428" i="3"/>
  <c r="H1428" i="3" s="1"/>
  <c r="F1425" i="3"/>
  <c r="H1425" i="3" s="1"/>
  <c r="F1424" i="3"/>
  <c r="H1424" i="3" s="1"/>
  <c r="F1423" i="3"/>
  <c r="H1423" i="3" s="1"/>
  <c r="F1422" i="3"/>
  <c r="H1422" i="3" s="1"/>
  <c r="F1421" i="3"/>
  <c r="H1421" i="3" s="1"/>
  <c r="F1420" i="3"/>
  <c r="H1420" i="3" s="1"/>
  <c r="F1419" i="3"/>
  <c r="H1419" i="3" s="1"/>
  <c r="F1418" i="3"/>
  <c r="H1418" i="3" s="1"/>
  <c r="F1417" i="3"/>
  <c r="H1417" i="3" s="1"/>
  <c r="F1416" i="3"/>
  <c r="H1416" i="3" s="1"/>
  <c r="F1411" i="3"/>
  <c r="H1411" i="3" s="1"/>
  <c r="F1410" i="3"/>
  <c r="H1410" i="3" s="1"/>
  <c r="F1407" i="3"/>
  <c r="H1407" i="3" s="1"/>
  <c r="F1406" i="3"/>
  <c r="H1406" i="3" s="1"/>
  <c r="F1405" i="3"/>
  <c r="H1405" i="3" s="1"/>
  <c r="F1404" i="3"/>
  <c r="H1404" i="3" s="1"/>
  <c r="F1403" i="3"/>
  <c r="H1403" i="3" s="1"/>
  <c r="F1397" i="3"/>
  <c r="H1397" i="3" s="1"/>
  <c r="G1398" i="3" s="1"/>
  <c r="F1394" i="3"/>
  <c r="H1394" i="3" s="1"/>
  <c r="F1393" i="3"/>
  <c r="H1393" i="3" s="1"/>
  <c r="F1389" i="3"/>
  <c r="H1389" i="3" s="1"/>
  <c r="F1388" i="3"/>
  <c r="H1388" i="3" s="1"/>
  <c r="F1387" i="3"/>
  <c r="H1387" i="3" s="1"/>
  <c r="F1386" i="3"/>
  <c r="H1386" i="3" s="1"/>
  <c r="F1385" i="3"/>
  <c r="H1385" i="3" s="1"/>
  <c r="F1384" i="3"/>
  <c r="H1384" i="3" s="1"/>
  <c r="F1383" i="3"/>
  <c r="H1383" i="3" s="1"/>
  <c r="F1382" i="3"/>
  <c r="H1382" i="3" s="1"/>
  <c r="F1381" i="3"/>
  <c r="H1381" i="3" s="1"/>
  <c r="F1380" i="3"/>
  <c r="H1380" i="3" s="1"/>
  <c r="F1379" i="3"/>
  <c r="H1379" i="3" s="1"/>
  <c r="F1378" i="3"/>
  <c r="H1378" i="3" s="1"/>
  <c r="F1377" i="3"/>
  <c r="H1377" i="3" s="1"/>
  <c r="F1376" i="3"/>
  <c r="H1376" i="3" s="1"/>
  <c r="F1373" i="3"/>
  <c r="H1373" i="3" s="1"/>
  <c r="F1372" i="3"/>
  <c r="H1372" i="3" s="1"/>
  <c r="F1371" i="3"/>
  <c r="H1371" i="3" s="1"/>
  <c r="F1370" i="3"/>
  <c r="H1370" i="3" s="1"/>
  <c r="F1369" i="3"/>
  <c r="H1369" i="3" s="1"/>
  <c r="F1368" i="3"/>
  <c r="H1368" i="3" s="1"/>
  <c r="F1367" i="3"/>
  <c r="H1367" i="3" s="1"/>
  <c r="F1366" i="3"/>
  <c r="H1366" i="3" s="1"/>
  <c r="F1365" i="3"/>
  <c r="H1365" i="3" s="1"/>
  <c r="F1364" i="3"/>
  <c r="H1364" i="3" s="1"/>
  <c r="F1363" i="3"/>
  <c r="H1363" i="3" s="1"/>
  <c r="F1362" i="3"/>
  <c r="H1362" i="3" s="1"/>
  <c r="F1361" i="3"/>
  <c r="H1361" i="3" s="1"/>
  <c r="F1360" i="3"/>
  <c r="H1360" i="3" s="1"/>
  <c r="F1359" i="3"/>
  <c r="H1359" i="3" s="1"/>
  <c r="F1358" i="3"/>
  <c r="H1358" i="3" s="1"/>
  <c r="F1357" i="3"/>
  <c r="H1357" i="3" s="1"/>
  <c r="F1356" i="3"/>
  <c r="H1356" i="3" s="1"/>
  <c r="F1355" i="3"/>
  <c r="H1355" i="3" s="1"/>
  <c r="F1354" i="3"/>
  <c r="H1354" i="3" s="1"/>
  <c r="F1351" i="3"/>
  <c r="H1351" i="3" s="1"/>
  <c r="F1350" i="3"/>
  <c r="H1350" i="3" s="1"/>
  <c r="F1349" i="3"/>
  <c r="H1349" i="3" s="1"/>
  <c r="F1348" i="3"/>
  <c r="H1348" i="3" s="1"/>
  <c r="F1347" i="3"/>
  <c r="H1347" i="3" s="1"/>
  <c r="F1346" i="3"/>
  <c r="H1346" i="3" s="1"/>
  <c r="F1345" i="3"/>
  <c r="H1345" i="3" s="1"/>
  <c r="F1342" i="3"/>
  <c r="H1342" i="3" s="1"/>
  <c r="F1341" i="3"/>
  <c r="H1341" i="3" s="1"/>
  <c r="F1340" i="3"/>
  <c r="H1340" i="3" s="1"/>
  <c r="F1339" i="3"/>
  <c r="H1339" i="3" s="1"/>
  <c r="F1338" i="3"/>
  <c r="H1338" i="3" s="1"/>
  <c r="F1337" i="3"/>
  <c r="H1337" i="3" s="1"/>
  <c r="F1336" i="3"/>
  <c r="H1336" i="3" s="1"/>
  <c r="F1335" i="3"/>
  <c r="H1335" i="3" s="1"/>
  <c r="F1334" i="3"/>
  <c r="H1334" i="3" s="1"/>
  <c r="F1333" i="3"/>
  <c r="H1333" i="3" s="1"/>
  <c r="F1332" i="3"/>
  <c r="H1332" i="3" s="1"/>
  <c r="F1331" i="3"/>
  <c r="H1331" i="3" s="1"/>
  <c r="F1330" i="3"/>
  <c r="H1330" i="3" s="1"/>
  <c r="F1329" i="3"/>
  <c r="H1329" i="3" s="1"/>
  <c r="F1328" i="3"/>
  <c r="H1328" i="3" s="1"/>
  <c r="F1327" i="3"/>
  <c r="H1327" i="3" s="1"/>
  <c r="F1326" i="3"/>
  <c r="H1326" i="3" s="1"/>
  <c r="F1319" i="3"/>
  <c r="H1319" i="3" s="1"/>
  <c r="F1318" i="3"/>
  <c r="H1318" i="3" s="1"/>
  <c r="F1317" i="3"/>
  <c r="H1317" i="3" s="1"/>
  <c r="F1316" i="3"/>
  <c r="H1316" i="3" s="1"/>
  <c r="F1315" i="3"/>
  <c r="H1315" i="3" s="1"/>
  <c r="F1312" i="3"/>
  <c r="H1312" i="3" s="1"/>
  <c r="G1313" i="3" s="1"/>
  <c r="F1309" i="3"/>
  <c r="H1309" i="3" s="1"/>
  <c r="F1308" i="3"/>
  <c r="H1308" i="3" s="1"/>
  <c r="F1307" i="3"/>
  <c r="H1307" i="3" s="1"/>
  <c r="F1306" i="3"/>
  <c r="H1306" i="3" s="1"/>
  <c r="F1305" i="3"/>
  <c r="H1305" i="3" s="1"/>
  <c r="F1304" i="3"/>
  <c r="H1304" i="3" s="1"/>
  <c r="F1303" i="3"/>
  <c r="H1303" i="3" s="1"/>
  <c r="F1302" i="3"/>
  <c r="H1302" i="3" s="1"/>
  <c r="F1301" i="3"/>
  <c r="H1301" i="3" s="1"/>
  <c r="F1300" i="3"/>
  <c r="H1300" i="3" s="1"/>
  <c r="F1299" i="3"/>
  <c r="H1299" i="3" s="1"/>
  <c r="F1296" i="3"/>
  <c r="H1296" i="3" s="1"/>
  <c r="F1295" i="3"/>
  <c r="H1295" i="3" s="1"/>
  <c r="F1294" i="3"/>
  <c r="H1294" i="3" s="1"/>
  <c r="F1293" i="3"/>
  <c r="H1293" i="3" s="1"/>
  <c r="F1292" i="3"/>
  <c r="H1292" i="3" s="1"/>
  <c r="F1289" i="3"/>
  <c r="H1289" i="3" s="1"/>
  <c r="F1288" i="3"/>
  <c r="H1288" i="3" s="1"/>
  <c r="F1287" i="3"/>
  <c r="H1287" i="3" s="1"/>
  <c r="F1286" i="3"/>
  <c r="H1286" i="3" s="1"/>
  <c r="F1285" i="3"/>
  <c r="H1285" i="3" s="1"/>
  <c r="F1282" i="3"/>
  <c r="H1282" i="3" s="1"/>
  <c r="F1281" i="3"/>
  <c r="H1281" i="3" s="1"/>
  <c r="F1280" i="3"/>
  <c r="H1280" i="3" s="1"/>
  <c r="F1279" i="3"/>
  <c r="H1279" i="3" s="1"/>
  <c r="F1278" i="3"/>
  <c r="H1278" i="3" s="1"/>
  <c r="F1277" i="3"/>
  <c r="H1277" i="3" s="1"/>
  <c r="F1276" i="3"/>
  <c r="H1276" i="3" s="1"/>
  <c r="F1272" i="3"/>
  <c r="H1272" i="3" s="1"/>
  <c r="F1271" i="3"/>
  <c r="H1271" i="3" s="1"/>
  <c r="F1270" i="3"/>
  <c r="H1270" i="3" s="1"/>
  <c r="F1269" i="3"/>
  <c r="H1269" i="3" s="1"/>
  <c r="F1268" i="3"/>
  <c r="H1268" i="3" s="1"/>
  <c r="F1267" i="3"/>
  <c r="H1267" i="3" s="1"/>
  <c r="F1266" i="3"/>
  <c r="H1266" i="3" s="1"/>
  <c r="F1263" i="3"/>
  <c r="H1263" i="3" s="1"/>
  <c r="F1262" i="3"/>
  <c r="H1262" i="3" s="1"/>
  <c r="F1261" i="3"/>
  <c r="H1261" i="3" s="1"/>
  <c r="F1260" i="3"/>
  <c r="H1260" i="3" s="1"/>
  <c r="F1259" i="3"/>
  <c r="H1259" i="3" s="1"/>
  <c r="F1258" i="3"/>
  <c r="H1258" i="3" s="1"/>
  <c r="F1257" i="3"/>
  <c r="H1257" i="3" s="1"/>
  <c r="F1256" i="3"/>
  <c r="H1256" i="3" s="1"/>
  <c r="F1248" i="3"/>
  <c r="H1248" i="3" s="1"/>
  <c r="F1247" i="3"/>
  <c r="H1247" i="3" s="1"/>
  <c r="F1246" i="3"/>
  <c r="H1246" i="3" s="1"/>
  <c r="F1245" i="3"/>
  <c r="H1245" i="3" s="1"/>
  <c r="F1240" i="3"/>
  <c r="H1240" i="3" s="1"/>
  <c r="F1239" i="3"/>
  <c r="H1239" i="3" s="1"/>
  <c r="F1238" i="3"/>
  <c r="H1238" i="3" s="1"/>
  <c r="F1237" i="3"/>
  <c r="H1237" i="3" s="1"/>
  <c r="F1236" i="3"/>
  <c r="H1236" i="3" s="1"/>
  <c r="F1235" i="3"/>
  <c r="H1235" i="3" s="1"/>
  <c r="F1234" i="3"/>
  <c r="H1234" i="3" s="1"/>
  <c r="F1233" i="3"/>
  <c r="H1233" i="3" s="1"/>
  <c r="F1232" i="3"/>
  <c r="H1232" i="3" s="1"/>
  <c r="F1231" i="3"/>
  <c r="H1231" i="3" s="1"/>
  <c r="F1230" i="3"/>
  <c r="H1230" i="3" s="1"/>
  <c r="F1227" i="3"/>
  <c r="H1227" i="3" s="1"/>
  <c r="F1226" i="3"/>
  <c r="H1226" i="3" s="1"/>
  <c r="F1225" i="3"/>
  <c r="H1225" i="3" s="1"/>
  <c r="F1224" i="3"/>
  <c r="H1224" i="3" s="1"/>
  <c r="F1223" i="3"/>
  <c r="H1223" i="3" s="1"/>
  <c r="F1222" i="3"/>
  <c r="H1222" i="3" s="1"/>
  <c r="F1221" i="3"/>
  <c r="H1221" i="3" s="1"/>
  <c r="F1220" i="3"/>
  <c r="H1220" i="3" s="1"/>
  <c r="F1219" i="3"/>
  <c r="H1219" i="3" s="1"/>
  <c r="F1218" i="3"/>
  <c r="H1218" i="3" s="1"/>
  <c r="F1217" i="3"/>
  <c r="H1217" i="3" s="1"/>
  <c r="F1216" i="3"/>
  <c r="H1216" i="3" s="1"/>
  <c r="F1215" i="3"/>
  <c r="H1215" i="3" s="1"/>
  <c r="F1214" i="3"/>
  <c r="H1214" i="3" s="1"/>
  <c r="F1213" i="3"/>
  <c r="H1213" i="3" s="1"/>
  <c r="F1212" i="3"/>
  <c r="H1212" i="3" s="1"/>
  <c r="F1211" i="3"/>
  <c r="H1211" i="3" s="1"/>
  <c r="F1210" i="3"/>
  <c r="H1210" i="3" s="1"/>
  <c r="F1209" i="3"/>
  <c r="H1209" i="3" s="1"/>
  <c r="F1204" i="3"/>
  <c r="H1204" i="3" s="1"/>
  <c r="F1203" i="3"/>
  <c r="H1203" i="3" s="1"/>
  <c r="F1202" i="3"/>
  <c r="H1202" i="3" s="1"/>
  <c r="F1201" i="3"/>
  <c r="H1201" i="3" s="1"/>
  <c r="F1200" i="3"/>
  <c r="H1200" i="3" s="1"/>
  <c r="F1197" i="3"/>
  <c r="H1197" i="3" s="1"/>
  <c r="G1198" i="3" s="1"/>
  <c r="F1194" i="3"/>
  <c r="H1194" i="3" s="1"/>
  <c r="F1193" i="3"/>
  <c r="H1193" i="3" s="1"/>
  <c r="F1192" i="3"/>
  <c r="H1192" i="3" s="1"/>
  <c r="F1191" i="3"/>
  <c r="H1191" i="3" s="1"/>
  <c r="F1190" i="3"/>
  <c r="H1190" i="3" s="1"/>
  <c r="F1189" i="3"/>
  <c r="H1189" i="3" s="1"/>
  <c r="F1188" i="3"/>
  <c r="H1188" i="3" s="1"/>
  <c r="F1187" i="3"/>
  <c r="H1187" i="3" s="1"/>
  <c r="F1186" i="3"/>
  <c r="H1186" i="3" s="1"/>
  <c r="F1185" i="3"/>
  <c r="H1185" i="3" s="1"/>
  <c r="F1184" i="3"/>
  <c r="H1184" i="3" s="1"/>
  <c r="F1183" i="3"/>
  <c r="H1183" i="3" s="1"/>
  <c r="F1182" i="3"/>
  <c r="H1182" i="3" s="1"/>
  <c r="F1181" i="3"/>
  <c r="H1181" i="3" s="1"/>
  <c r="F1178" i="3"/>
  <c r="H1178" i="3" s="1"/>
  <c r="F1177" i="3"/>
  <c r="H1177" i="3" s="1"/>
  <c r="F1176" i="3"/>
  <c r="H1176" i="3" s="1"/>
  <c r="F1175" i="3"/>
  <c r="H1175" i="3" s="1"/>
  <c r="F1174" i="3"/>
  <c r="H1174" i="3" s="1"/>
  <c r="F1173" i="3"/>
  <c r="H1173" i="3" s="1"/>
  <c r="F1172" i="3"/>
  <c r="H1172" i="3" s="1"/>
  <c r="F1171" i="3"/>
  <c r="H1171" i="3" s="1"/>
  <c r="F1170" i="3"/>
  <c r="H1170" i="3" s="1"/>
  <c r="F1167" i="3"/>
  <c r="H1167" i="3" s="1"/>
  <c r="F1166" i="3"/>
  <c r="H1166" i="3" s="1"/>
  <c r="F1165" i="3"/>
  <c r="H1165" i="3" s="1"/>
  <c r="F1164" i="3"/>
  <c r="H1164" i="3" s="1"/>
  <c r="F1163" i="3"/>
  <c r="H1163" i="3" s="1"/>
  <c r="F1162" i="3"/>
  <c r="H1162" i="3" s="1"/>
  <c r="F1161" i="3"/>
  <c r="H1161" i="3" s="1"/>
  <c r="F1158" i="3"/>
  <c r="H1158" i="3" s="1"/>
  <c r="F1157" i="3"/>
  <c r="H1157" i="3" s="1"/>
  <c r="F1156" i="3"/>
  <c r="H1156" i="3" s="1"/>
  <c r="F1155" i="3"/>
  <c r="H1155" i="3" s="1"/>
  <c r="F1154" i="3"/>
  <c r="H1154" i="3" s="1"/>
  <c r="F1153" i="3"/>
  <c r="H1153" i="3" s="1"/>
  <c r="F1152" i="3"/>
  <c r="H1152" i="3" s="1"/>
  <c r="F1151" i="3"/>
  <c r="H1151" i="3" s="1"/>
  <c r="F1147" i="3"/>
  <c r="H1147" i="3" s="1"/>
  <c r="F1146" i="3"/>
  <c r="H1146" i="3" s="1"/>
  <c r="F1145" i="3"/>
  <c r="H1145" i="3" s="1"/>
  <c r="F1144" i="3"/>
  <c r="H1144" i="3" s="1"/>
  <c r="F1141" i="3"/>
  <c r="H1141" i="3" s="1"/>
  <c r="F1140" i="3"/>
  <c r="H1140" i="3" s="1"/>
  <c r="F1139" i="3"/>
  <c r="H1139" i="3" s="1"/>
  <c r="F1138" i="3"/>
  <c r="H1138" i="3" s="1"/>
  <c r="F1137" i="3"/>
  <c r="H1137" i="3" s="1"/>
  <c r="F1136" i="3"/>
  <c r="H1136" i="3" s="1"/>
  <c r="F1133" i="3"/>
  <c r="H1133" i="3" s="1"/>
  <c r="F1132" i="3"/>
  <c r="H1132" i="3" s="1"/>
  <c r="F1131" i="3"/>
  <c r="H1131" i="3" s="1"/>
  <c r="F1130" i="3"/>
  <c r="H1130" i="3" s="1"/>
  <c r="F1129" i="3"/>
  <c r="H1129" i="3" s="1"/>
  <c r="F1128" i="3"/>
  <c r="H1128" i="3" s="1"/>
  <c r="F1125" i="3"/>
  <c r="H1125" i="3" s="1"/>
  <c r="F1124" i="3"/>
  <c r="H1124" i="3" s="1"/>
  <c r="F1123" i="3"/>
  <c r="H1123" i="3" s="1"/>
  <c r="F1122" i="3"/>
  <c r="H1122" i="3" s="1"/>
  <c r="F1121" i="3"/>
  <c r="H1121" i="3" s="1"/>
  <c r="F1120" i="3"/>
  <c r="H1120" i="3" s="1"/>
  <c r="F1117" i="3"/>
  <c r="H1117" i="3" s="1"/>
  <c r="F1116" i="3"/>
  <c r="H1116" i="3" s="1"/>
  <c r="F1115" i="3"/>
  <c r="H1115" i="3" s="1"/>
  <c r="F1114" i="3"/>
  <c r="H1114" i="3" s="1"/>
  <c r="F1113" i="3"/>
  <c r="H1113" i="3" s="1"/>
  <c r="F1112" i="3"/>
  <c r="H1112" i="3" s="1"/>
  <c r="F1111" i="3"/>
  <c r="H1111" i="3" s="1"/>
  <c r="F1108" i="3"/>
  <c r="H1108" i="3" s="1"/>
  <c r="F1107" i="3"/>
  <c r="H1107" i="3" s="1"/>
  <c r="F1106" i="3"/>
  <c r="H1106" i="3" s="1"/>
  <c r="F1105" i="3"/>
  <c r="H1105" i="3" s="1"/>
  <c r="F1104" i="3"/>
  <c r="H1104" i="3" s="1"/>
  <c r="F1103" i="3"/>
  <c r="H1103" i="3" s="1"/>
  <c r="F1100" i="3"/>
  <c r="H1100" i="3" s="1"/>
  <c r="F1099" i="3"/>
  <c r="H1099" i="3" s="1"/>
  <c r="F1098" i="3"/>
  <c r="H1098" i="3" s="1"/>
  <c r="F1097" i="3"/>
  <c r="H1097" i="3" s="1"/>
  <c r="F1096" i="3"/>
  <c r="H1096" i="3" s="1"/>
  <c r="F1095" i="3"/>
  <c r="H1095" i="3" s="1"/>
  <c r="F1092" i="3"/>
  <c r="H1092" i="3" s="1"/>
  <c r="F1091" i="3"/>
  <c r="H1091" i="3" s="1"/>
  <c r="F1090" i="3"/>
  <c r="H1090" i="3" s="1"/>
  <c r="F1089" i="3"/>
  <c r="H1089" i="3" s="1"/>
  <c r="F1088" i="3"/>
  <c r="H1088" i="3" s="1"/>
  <c r="F1087" i="3"/>
  <c r="H1087" i="3" s="1"/>
  <c r="F1086" i="3"/>
  <c r="H1086" i="3" s="1"/>
  <c r="F1085" i="3"/>
  <c r="H1085" i="3" s="1"/>
  <c r="F1075" i="3"/>
  <c r="H1075" i="3" s="1"/>
  <c r="F1074" i="3"/>
  <c r="H1074" i="3" s="1"/>
  <c r="F1073" i="3"/>
  <c r="H1073" i="3" s="1"/>
  <c r="F1072" i="3"/>
  <c r="H1072" i="3" s="1"/>
  <c r="F1071" i="3"/>
  <c r="H1071" i="3" s="1"/>
  <c r="F1070" i="3"/>
  <c r="H1070" i="3" s="1"/>
  <c r="F1069" i="3"/>
  <c r="H1069" i="3" s="1"/>
  <c r="F1068" i="3"/>
  <c r="H1068" i="3" s="1"/>
  <c r="F1065" i="3"/>
  <c r="H1065" i="3" s="1"/>
  <c r="F1064" i="3"/>
  <c r="H1064" i="3" s="1"/>
  <c r="F1063" i="3"/>
  <c r="H1063" i="3" s="1"/>
  <c r="F1062" i="3"/>
  <c r="H1062" i="3" s="1"/>
  <c r="F1059" i="3"/>
  <c r="H1059" i="3" s="1"/>
  <c r="F1058" i="3"/>
  <c r="H1058" i="3" s="1"/>
  <c r="F1057" i="3"/>
  <c r="H1057" i="3" s="1"/>
  <c r="F1054" i="3"/>
  <c r="H1054" i="3" s="1"/>
  <c r="F1053" i="3"/>
  <c r="H1053" i="3" s="1"/>
  <c r="F1052" i="3"/>
  <c r="H1052" i="3" s="1"/>
  <c r="F1051" i="3"/>
  <c r="H1051" i="3" s="1"/>
  <c r="F1050" i="3"/>
  <c r="H1050" i="3" s="1"/>
  <c r="F1049" i="3"/>
  <c r="H1049" i="3" s="1"/>
  <c r="F1048" i="3"/>
  <c r="H1048" i="3" s="1"/>
  <c r="F1047" i="3"/>
  <c r="H1047" i="3" s="1"/>
  <c r="F1046" i="3"/>
  <c r="H1046" i="3" s="1"/>
  <c r="F1045" i="3"/>
  <c r="H1045" i="3" s="1"/>
  <c r="F1044" i="3"/>
  <c r="H1044" i="3" s="1"/>
  <c r="F1043" i="3"/>
  <c r="H1043" i="3" s="1"/>
  <c r="F1042" i="3"/>
  <c r="H1042" i="3" s="1"/>
  <c r="F1041" i="3"/>
  <c r="H1041" i="3" s="1"/>
  <c r="F1040" i="3"/>
  <c r="H1040" i="3" s="1"/>
  <c r="F1039" i="3"/>
  <c r="H1039" i="3" s="1"/>
  <c r="F1038" i="3"/>
  <c r="H1038" i="3" s="1"/>
  <c r="F1037" i="3"/>
  <c r="H1037" i="3" s="1"/>
  <c r="F1036" i="3"/>
  <c r="H1036" i="3" s="1"/>
  <c r="F1035" i="3"/>
  <c r="H1035" i="3" s="1"/>
  <c r="F1034" i="3"/>
  <c r="H1034" i="3" s="1"/>
  <c r="F1029" i="3"/>
  <c r="H1029" i="3" s="1"/>
  <c r="G1030" i="3" s="1"/>
  <c r="G1028" i="3" s="1"/>
  <c r="H1028" i="3" s="1"/>
  <c r="F1026" i="3"/>
  <c r="H1026" i="3" s="1"/>
  <c r="F1025" i="3"/>
  <c r="H1025" i="3" s="1"/>
  <c r="F1024" i="3"/>
  <c r="H1024" i="3" s="1"/>
  <c r="F1023" i="3"/>
  <c r="H1023" i="3" s="1"/>
  <c r="F1022" i="3"/>
  <c r="H1022" i="3" s="1"/>
  <c r="F1021" i="3"/>
  <c r="H1021" i="3" s="1"/>
  <c r="F1020" i="3"/>
  <c r="H1020" i="3" s="1"/>
  <c r="F1019" i="3"/>
  <c r="H1019" i="3" s="1"/>
  <c r="F1018" i="3"/>
  <c r="H1018" i="3" s="1"/>
  <c r="F1013" i="3"/>
  <c r="H1013" i="3" s="1"/>
  <c r="G1014" i="3" s="1"/>
  <c r="G1012" i="3" s="1"/>
  <c r="H1012" i="3" s="1"/>
  <c r="F1010" i="3"/>
  <c r="H1010" i="3" s="1"/>
  <c r="F1009" i="3"/>
  <c r="H1009" i="3" s="1"/>
  <c r="F1008" i="3"/>
  <c r="H1008" i="3" s="1"/>
  <c r="F1007" i="3"/>
  <c r="H1007" i="3" s="1"/>
  <c r="F1006" i="3"/>
  <c r="H1006" i="3" s="1"/>
  <c r="F1005" i="3"/>
  <c r="H1005" i="3" s="1"/>
  <c r="F1004" i="3"/>
  <c r="H1004" i="3" s="1"/>
  <c r="F1003" i="3"/>
  <c r="H1003" i="3" s="1"/>
  <c r="F1000" i="3"/>
  <c r="H1000" i="3" s="1"/>
  <c r="F999" i="3"/>
  <c r="H999" i="3" s="1"/>
  <c r="F998" i="3"/>
  <c r="H998" i="3" s="1"/>
  <c r="F997" i="3"/>
  <c r="H997" i="3" s="1"/>
  <c r="F996" i="3"/>
  <c r="H996" i="3" s="1"/>
  <c r="F995" i="3"/>
  <c r="H995" i="3" s="1"/>
  <c r="F994" i="3"/>
  <c r="H994" i="3" s="1"/>
  <c r="F993" i="3"/>
  <c r="H993" i="3" s="1"/>
  <c r="F992" i="3"/>
  <c r="H992" i="3" s="1"/>
  <c r="F991" i="3"/>
  <c r="H991" i="3" s="1"/>
  <c r="F990" i="3"/>
  <c r="H990" i="3" s="1"/>
  <c r="F989" i="3"/>
  <c r="H989" i="3" s="1"/>
  <c r="F988" i="3"/>
  <c r="H988" i="3" s="1"/>
  <c r="F987" i="3"/>
  <c r="H987" i="3" s="1"/>
  <c r="F986" i="3"/>
  <c r="H986" i="3" s="1"/>
  <c r="F985" i="3"/>
  <c r="H985" i="3" s="1"/>
  <c r="F984" i="3"/>
  <c r="H984" i="3" s="1"/>
  <c r="F983" i="3"/>
  <c r="H983" i="3" s="1"/>
  <c r="F982" i="3"/>
  <c r="H982" i="3" s="1"/>
  <c r="F981" i="3"/>
  <c r="H981" i="3" s="1"/>
  <c r="F980" i="3"/>
  <c r="H980" i="3" s="1"/>
  <c r="F979" i="3"/>
  <c r="H979" i="3" s="1"/>
  <c r="F978" i="3"/>
  <c r="H978" i="3" s="1"/>
  <c r="F977" i="3"/>
  <c r="H977" i="3" s="1"/>
  <c r="F976" i="3"/>
  <c r="H976" i="3" s="1"/>
  <c r="F975" i="3"/>
  <c r="H975" i="3" s="1"/>
  <c r="F974" i="3"/>
  <c r="H974" i="3" s="1"/>
  <c r="F971" i="3"/>
  <c r="H971" i="3" s="1"/>
  <c r="F970" i="3"/>
  <c r="H970" i="3" s="1"/>
  <c r="F969" i="3"/>
  <c r="H969" i="3" s="1"/>
  <c r="F968" i="3"/>
  <c r="H968" i="3" s="1"/>
  <c r="F967" i="3"/>
  <c r="H967" i="3" s="1"/>
  <c r="F966" i="3"/>
  <c r="H966" i="3" s="1"/>
  <c r="F965" i="3"/>
  <c r="H965" i="3" s="1"/>
  <c r="F964" i="3"/>
  <c r="H964" i="3" s="1"/>
  <c r="F963" i="3"/>
  <c r="H963" i="3" s="1"/>
  <c r="F962" i="3"/>
  <c r="H962" i="3" s="1"/>
  <c r="F961" i="3"/>
  <c r="H961" i="3" s="1"/>
  <c r="F960" i="3"/>
  <c r="H960" i="3" s="1"/>
  <c r="F957" i="3"/>
  <c r="H957" i="3" s="1"/>
  <c r="F956" i="3"/>
  <c r="H956" i="3" s="1"/>
  <c r="F955" i="3"/>
  <c r="H955" i="3" s="1"/>
  <c r="F954" i="3"/>
  <c r="H954" i="3" s="1"/>
  <c r="F953" i="3"/>
  <c r="H953" i="3" s="1"/>
  <c r="F952" i="3"/>
  <c r="H952" i="3" s="1"/>
  <c r="F946" i="3"/>
  <c r="H946" i="3" s="1"/>
  <c r="F945" i="3"/>
  <c r="H945" i="3" s="1"/>
  <c r="F944" i="3"/>
  <c r="H944" i="3" s="1"/>
  <c r="F943" i="3"/>
  <c r="H943" i="3" s="1"/>
  <c r="F942" i="3"/>
  <c r="H942" i="3" s="1"/>
  <c r="F941" i="3"/>
  <c r="H941" i="3" s="1"/>
  <c r="F940" i="3"/>
  <c r="H940" i="3" s="1"/>
  <c r="F939" i="3"/>
  <c r="H939" i="3" s="1"/>
  <c r="F938" i="3"/>
  <c r="H938" i="3" s="1"/>
  <c r="F937" i="3"/>
  <c r="H937" i="3" s="1"/>
  <c r="F936" i="3"/>
  <c r="H936" i="3" s="1"/>
  <c r="F935" i="3"/>
  <c r="H935" i="3" s="1"/>
  <c r="F934" i="3"/>
  <c r="H934" i="3" s="1"/>
  <c r="F933" i="3"/>
  <c r="H933" i="3" s="1"/>
  <c r="F929" i="3"/>
  <c r="H929" i="3" s="1"/>
  <c r="F928" i="3"/>
  <c r="H928" i="3" s="1"/>
  <c r="F927" i="3"/>
  <c r="H927" i="3" s="1"/>
  <c r="F926" i="3"/>
  <c r="H926" i="3" s="1"/>
  <c r="F925" i="3"/>
  <c r="H925" i="3" s="1"/>
  <c r="F924" i="3"/>
  <c r="H924" i="3" s="1"/>
  <c r="F923" i="3"/>
  <c r="H923" i="3" s="1"/>
  <c r="F922" i="3"/>
  <c r="H922" i="3" s="1"/>
  <c r="F921" i="3"/>
  <c r="H921" i="3" s="1"/>
  <c r="F920" i="3"/>
  <c r="H920" i="3" s="1"/>
  <c r="F919" i="3"/>
  <c r="H919" i="3" s="1"/>
  <c r="F918" i="3"/>
  <c r="H918" i="3" s="1"/>
  <c r="F917" i="3"/>
  <c r="H917" i="3" s="1"/>
  <c r="F916" i="3"/>
  <c r="H916" i="3" s="1"/>
  <c r="F915" i="3"/>
  <c r="H915" i="3" s="1"/>
  <c r="F914" i="3"/>
  <c r="H914" i="3" s="1"/>
  <c r="F913" i="3"/>
  <c r="H913" i="3" s="1"/>
  <c r="F910" i="3"/>
  <c r="H910" i="3" s="1"/>
  <c r="F909" i="3"/>
  <c r="H909" i="3" s="1"/>
  <c r="F908" i="3"/>
  <c r="H908" i="3" s="1"/>
  <c r="F905" i="3"/>
  <c r="H905" i="3" s="1"/>
  <c r="F904" i="3"/>
  <c r="H904" i="3" s="1"/>
  <c r="F903" i="3"/>
  <c r="H903" i="3" s="1"/>
  <c r="F902" i="3"/>
  <c r="H902" i="3" s="1"/>
  <c r="F899" i="3"/>
  <c r="H899" i="3" s="1"/>
  <c r="F898" i="3"/>
  <c r="H898" i="3" s="1"/>
  <c r="F897" i="3"/>
  <c r="H897" i="3" s="1"/>
  <c r="F896" i="3"/>
  <c r="H896" i="3" s="1"/>
  <c r="F895" i="3"/>
  <c r="H895" i="3" s="1"/>
  <c r="F894" i="3"/>
  <c r="H894" i="3" s="1"/>
  <c r="F893" i="3"/>
  <c r="H893" i="3" s="1"/>
  <c r="F892" i="3"/>
  <c r="H892" i="3" s="1"/>
  <c r="F891" i="3"/>
  <c r="H891" i="3" s="1"/>
  <c r="F890" i="3"/>
  <c r="H890" i="3" s="1"/>
  <c r="F889" i="3"/>
  <c r="H889" i="3" s="1"/>
  <c r="F888" i="3"/>
  <c r="H888" i="3" s="1"/>
  <c r="F887" i="3"/>
  <c r="H887" i="3" s="1"/>
  <c r="F886" i="3"/>
  <c r="H886" i="3" s="1"/>
  <c r="F885" i="3"/>
  <c r="H885" i="3" s="1"/>
  <c r="F884" i="3"/>
  <c r="H884" i="3" s="1"/>
  <c r="F883" i="3"/>
  <c r="H883" i="3" s="1"/>
  <c r="H882" i="3"/>
  <c r="F882" i="3"/>
  <c r="F881" i="3"/>
  <c r="H881" i="3" s="1"/>
  <c r="F880" i="3"/>
  <c r="H880" i="3" s="1"/>
  <c r="F879" i="3"/>
  <c r="H879" i="3" s="1"/>
  <c r="F878" i="3"/>
  <c r="H878" i="3" s="1"/>
  <c r="F877" i="3"/>
  <c r="H877" i="3" s="1"/>
  <c r="F876" i="3"/>
  <c r="H876" i="3" s="1"/>
  <c r="F875" i="3"/>
  <c r="H875" i="3" s="1"/>
  <c r="F874" i="3"/>
  <c r="H874" i="3" s="1"/>
  <c r="F869" i="3"/>
  <c r="H869" i="3" s="1"/>
  <c r="F868" i="3"/>
  <c r="H868" i="3" s="1"/>
  <c r="F867" i="3"/>
  <c r="H867" i="3" s="1"/>
  <c r="F866" i="3"/>
  <c r="H866" i="3" s="1"/>
  <c r="F865" i="3"/>
  <c r="H865" i="3" s="1"/>
  <c r="F864" i="3"/>
  <c r="H864" i="3" s="1"/>
  <c r="F863" i="3"/>
  <c r="H863" i="3" s="1"/>
  <c r="F862" i="3"/>
  <c r="H862" i="3" s="1"/>
  <c r="F861" i="3"/>
  <c r="H861" i="3" s="1"/>
  <c r="F860" i="3"/>
  <c r="H860" i="3" s="1"/>
  <c r="F859" i="3"/>
  <c r="H859" i="3" s="1"/>
  <c r="F858" i="3"/>
  <c r="H858" i="3" s="1"/>
  <c r="F857" i="3"/>
  <c r="H857" i="3" s="1"/>
  <c r="F856" i="3"/>
  <c r="H856" i="3" s="1"/>
  <c r="F855" i="3"/>
  <c r="H855" i="3" s="1"/>
  <c r="F854" i="3"/>
  <c r="H854" i="3" s="1"/>
  <c r="F853" i="3"/>
  <c r="H853" i="3" s="1"/>
  <c r="F852" i="3"/>
  <c r="H852" i="3" s="1"/>
  <c r="F851" i="3"/>
  <c r="H851" i="3" s="1"/>
  <c r="F850" i="3"/>
  <c r="H850" i="3" s="1"/>
  <c r="F849" i="3"/>
  <c r="H849" i="3" s="1"/>
  <c r="F848" i="3"/>
  <c r="H848" i="3" s="1"/>
  <c r="F847" i="3"/>
  <c r="H847" i="3" s="1"/>
  <c r="F846" i="3"/>
  <c r="H846" i="3" s="1"/>
  <c r="F845" i="3"/>
  <c r="H845" i="3" s="1"/>
  <c r="F844" i="3"/>
  <c r="H844" i="3" s="1"/>
  <c r="F843" i="3"/>
  <c r="H843" i="3" s="1"/>
  <c r="F842" i="3"/>
  <c r="H842" i="3" s="1"/>
  <c r="F841" i="3"/>
  <c r="H841" i="3" s="1"/>
  <c r="F838" i="3"/>
  <c r="H838" i="3" s="1"/>
  <c r="F837" i="3"/>
  <c r="H837" i="3" s="1"/>
  <c r="F836" i="3"/>
  <c r="H836" i="3" s="1"/>
  <c r="F835" i="3"/>
  <c r="H835" i="3" s="1"/>
  <c r="F832" i="3"/>
  <c r="H832" i="3" s="1"/>
  <c r="G833" i="3" s="1"/>
  <c r="H833" i="3" s="1"/>
  <c r="F829" i="3"/>
  <c r="H829" i="3" s="1"/>
  <c r="F828" i="3"/>
  <c r="H828" i="3" s="1"/>
  <c r="F827" i="3"/>
  <c r="H827" i="3" s="1"/>
  <c r="F826" i="3"/>
  <c r="H826" i="3" s="1"/>
  <c r="F825" i="3"/>
  <c r="H825" i="3" s="1"/>
  <c r="F824" i="3"/>
  <c r="H824" i="3" s="1"/>
  <c r="F823" i="3"/>
  <c r="H823" i="3" s="1"/>
  <c r="F818" i="3"/>
  <c r="H818" i="3" s="1"/>
  <c r="F817" i="3"/>
  <c r="H817" i="3" s="1"/>
  <c r="F814" i="3"/>
  <c r="H814" i="3" s="1"/>
  <c r="G815" i="3" s="1"/>
  <c r="H815" i="3" s="1"/>
  <c r="F811" i="3"/>
  <c r="H811" i="3" s="1"/>
  <c r="F810" i="3"/>
  <c r="H810" i="3" s="1"/>
  <c r="F809" i="3"/>
  <c r="H809" i="3" s="1"/>
  <c r="F808" i="3"/>
  <c r="H808" i="3" s="1"/>
  <c r="F807" i="3"/>
  <c r="H807" i="3" s="1"/>
  <c r="F806" i="3"/>
  <c r="H806" i="3" s="1"/>
  <c r="F805" i="3"/>
  <c r="H805" i="3" s="1"/>
  <c r="F804" i="3"/>
  <c r="H804" i="3" s="1"/>
  <c r="F803" i="3"/>
  <c r="H803" i="3" s="1"/>
  <c r="F802" i="3"/>
  <c r="H802" i="3" s="1"/>
  <c r="F801" i="3"/>
  <c r="H801" i="3" s="1"/>
  <c r="F800" i="3"/>
  <c r="H800" i="3" s="1"/>
  <c r="F799" i="3"/>
  <c r="H799" i="3" s="1"/>
  <c r="F798" i="3"/>
  <c r="H798" i="3" s="1"/>
  <c r="F797" i="3"/>
  <c r="H797" i="3" s="1"/>
  <c r="F796" i="3"/>
  <c r="H796" i="3" s="1"/>
  <c r="F795" i="3"/>
  <c r="H795" i="3" s="1"/>
  <c r="F794" i="3"/>
  <c r="H794" i="3" s="1"/>
  <c r="F793" i="3"/>
  <c r="H793" i="3" s="1"/>
  <c r="F792" i="3"/>
  <c r="H792" i="3" s="1"/>
  <c r="F791" i="3"/>
  <c r="H791" i="3" s="1"/>
  <c r="F790" i="3"/>
  <c r="H790" i="3" s="1"/>
  <c r="F789" i="3"/>
  <c r="H789" i="3" s="1"/>
  <c r="F788" i="3"/>
  <c r="H788" i="3" s="1"/>
  <c r="F783" i="3"/>
  <c r="H783" i="3" s="1"/>
  <c r="F782" i="3"/>
  <c r="H782" i="3" s="1"/>
  <c r="F781" i="3"/>
  <c r="H781" i="3" s="1"/>
  <c r="F780" i="3"/>
  <c r="H780" i="3" s="1"/>
  <c r="F779" i="3"/>
  <c r="H779" i="3" s="1"/>
  <c r="F778" i="3"/>
  <c r="H778" i="3" s="1"/>
  <c r="F777" i="3"/>
  <c r="H777" i="3" s="1"/>
  <c r="F776" i="3"/>
  <c r="H776" i="3" s="1"/>
  <c r="F775" i="3"/>
  <c r="H775" i="3" s="1"/>
  <c r="F774" i="3"/>
  <c r="H774" i="3" s="1"/>
  <c r="F773" i="3"/>
  <c r="H773" i="3" s="1"/>
  <c r="F772" i="3"/>
  <c r="H772" i="3" s="1"/>
  <c r="F771" i="3"/>
  <c r="H771" i="3" s="1"/>
  <c r="F768" i="3"/>
  <c r="H768" i="3" s="1"/>
  <c r="F767" i="3"/>
  <c r="H767" i="3" s="1"/>
  <c r="F766" i="3"/>
  <c r="H766" i="3" s="1"/>
  <c r="F765" i="3"/>
  <c r="H765" i="3" s="1"/>
  <c r="F764" i="3"/>
  <c r="H764" i="3" s="1"/>
  <c r="F763" i="3"/>
  <c r="H763" i="3" s="1"/>
  <c r="F762" i="3"/>
  <c r="H762" i="3" s="1"/>
  <c r="F761" i="3"/>
  <c r="H761" i="3" s="1"/>
  <c r="F760" i="3"/>
  <c r="H760" i="3" s="1"/>
  <c r="F759" i="3"/>
  <c r="H759" i="3" s="1"/>
  <c r="F758" i="3"/>
  <c r="H758" i="3" s="1"/>
  <c r="F757" i="3"/>
  <c r="H757" i="3" s="1"/>
  <c r="F756" i="3"/>
  <c r="H756" i="3" s="1"/>
  <c r="F755" i="3"/>
  <c r="H755" i="3" s="1"/>
  <c r="F754" i="3"/>
  <c r="H754" i="3" s="1"/>
  <c r="F753" i="3"/>
  <c r="H753" i="3" s="1"/>
  <c r="F752" i="3"/>
  <c r="H752" i="3" s="1"/>
  <c r="F751" i="3"/>
  <c r="H751" i="3" s="1"/>
  <c r="F750" i="3"/>
  <c r="H750" i="3" s="1"/>
  <c r="F749" i="3"/>
  <c r="H749" i="3" s="1"/>
  <c r="F748" i="3"/>
  <c r="H748" i="3" s="1"/>
  <c r="F747" i="3"/>
  <c r="H747" i="3" s="1"/>
  <c r="F746" i="3"/>
  <c r="H746" i="3" s="1"/>
  <c r="F745" i="3"/>
  <c r="H745" i="3" s="1"/>
  <c r="F744" i="3"/>
  <c r="H744" i="3" s="1"/>
  <c r="F743" i="3"/>
  <c r="H743" i="3" s="1"/>
  <c r="F742" i="3"/>
  <c r="H742" i="3" s="1"/>
  <c r="F741" i="3"/>
  <c r="H741" i="3" s="1"/>
  <c r="F740" i="3"/>
  <c r="H740" i="3" s="1"/>
  <c r="F739" i="3"/>
  <c r="H739" i="3" s="1"/>
  <c r="F738" i="3"/>
  <c r="H738" i="3" s="1"/>
  <c r="F737" i="3"/>
  <c r="H737" i="3" s="1"/>
  <c r="F736" i="3"/>
  <c r="H736" i="3" s="1"/>
  <c r="F735" i="3"/>
  <c r="H735" i="3" s="1"/>
  <c r="F734" i="3"/>
  <c r="H734" i="3" s="1"/>
  <c r="F733" i="3"/>
  <c r="H733" i="3" s="1"/>
  <c r="F732" i="3"/>
  <c r="H732" i="3" s="1"/>
  <c r="F731" i="3"/>
  <c r="H731" i="3" s="1"/>
  <c r="F730" i="3"/>
  <c r="H730" i="3" s="1"/>
  <c r="F729" i="3"/>
  <c r="H729" i="3" s="1"/>
  <c r="F728" i="3"/>
  <c r="H728" i="3" s="1"/>
  <c r="F727" i="3"/>
  <c r="H727" i="3" s="1"/>
  <c r="F726" i="3"/>
  <c r="H726" i="3" s="1"/>
  <c r="F725" i="3"/>
  <c r="H725" i="3" s="1"/>
  <c r="F724" i="3"/>
  <c r="H724" i="3" s="1"/>
  <c r="F723" i="3"/>
  <c r="H723" i="3" s="1"/>
  <c r="F722" i="3"/>
  <c r="H722" i="3" s="1"/>
  <c r="F721" i="3"/>
  <c r="H721" i="3" s="1"/>
  <c r="F720" i="3"/>
  <c r="H720" i="3" s="1"/>
  <c r="F719" i="3"/>
  <c r="H719" i="3" s="1"/>
  <c r="F718" i="3"/>
  <c r="H718" i="3" s="1"/>
  <c r="F717" i="3"/>
  <c r="H717" i="3" s="1"/>
  <c r="F716" i="3"/>
  <c r="H716" i="3" s="1"/>
  <c r="F715" i="3"/>
  <c r="H715" i="3" s="1"/>
  <c r="F714" i="3"/>
  <c r="H714" i="3" s="1"/>
  <c r="F713" i="3"/>
  <c r="H713" i="3" s="1"/>
  <c r="F712" i="3"/>
  <c r="H712" i="3" s="1"/>
  <c r="F711" i="3"/>
  <c r="H711" i="3" s="1"/>
  <c r="F710" i="3"/>
  <c r="H710" i="3" s="1"/>
  <c r="F709" i="3"/>
  <c r="H709" i="3" s="1"/>
  <c r="F708" i="3"/>
  <c r="H708" i="3" s="1"/>
  <c r="F705" i="3"/>
  <c r="H705" i="3" s="1"/>
  <c r="F704" i="3"/>
  <c r="H704" i="3" s="1"/>
  <c r="F703" i="3"/>
  <c r="H703" i="3" s="1"/>
  <c r="F702" i="3"/>
  <c r="H702" i="3" s="1"/>
  <c r="F701" i="3"/>
  <c r="H701" i="3" s="1"/>
  <c r="F700" i="3"/>
  <c r="H700" i="3" s="1"/>
  <c r="F699" i="3"/>
  <c r="H699" i="3" s="1"/>
  <c r="F698" i="3"/>
  <c r="H698" i="3" s="1"/>
  <c r="F697" i="3"/>
  <c r="H697" i="3" s="1"/>
  <c r="F696" i="3"/>
  <c r="H696" i="3" s="1"/>
  <c r="F695" i="3"/>
  <c r="H695" i="3" s="1"/>
  <c r="F694" i="3"/>
  <c r="H694" i="3" s="1"/>
  <c r="F693" i="3"/>
  <c r="H693" i="3" s="1"/>
  <c r="F692" i="3"/>
  <c r="H692" i="3" s="1"/>
  <c r="F691" i="3"/>
  <c r="H691" i="3" s="1"/>
  <c r="F690" i="3"/>
  <c r="H690" i="3" s="1"/>
  <c r="F689" i="3"/>
  <c r="H689" i="3" s="1"/>
  <c r="F688" i="3"/>
  <c r="H688" i="3" s="1"/>
  <c r="F687" i="3"/>
  <c r="H687" i="3" s="1"/>
  <c r="F684" i="3"/>
  <c r="H684" i="3" s="1"/>
  <c r="F683" i="3"/>
  <c r="H683" i="3" s="1"/>
  <c r="H676" i="3"/>
  <c r="G677" i="3" s="1"/>
  <c r="H677" i="3" s="1"/>
  <c r="F672" i="3"/>
  <c r="H672" i="3" s="1"/>
  <c r="F671" i="3"/>
  <c r="H671" i="3" s="1"/>
  <c r="F668" i="3"/>
  <c r="H668" i="3" s="1"/>
  <c r="G669" i="3" s="1"/>
  <c r="F664" i="3"/>
  <c r="H664" i="3" s="1"/>
  <c r="F663" i="3"/>
  <c r="H663" i="3" s="1"/>
  <c r="F662" i="3"/>
  <c r="H662" i="3" s="1"/>
  <c r="F661" i="3"/>
  <c r="H661" i="3" s="1"/>
  <c r="F660" i="3"/>
  <c r="H660" i="3" s="1"/>
  <c r="F659" i="3"/>
  <c r="H659" i="3" s="1"/>
  <c r="F658" i="3"/>
  <c r="H658" i="3" s="1"/>
  <c r="F652" i="3"/>
  <c r="H652" i="3" s="1"/>
  <c r="F651" i="3"/>
  <c r="H651" i="3" s="1"/>
  <c r="F650" i="3"/>
  <c r="H650" i="3" s="1"/>
  <c r="F649" i="3"/>
  <c r="H649" i="3" s="1"/>
  <c r="F648" i="3"/>
  <c r="H648" i="3" s="1"/>
  <c r="F645" i="3"/>
  <c r="H645" i="3" s="1"/>
  <c r="F644" i="3"/>
  <c r="H644" i="3" s="1"/>
  <c r="F641" i="3"/>
  <c r="H641" i="3" s="1"/>
  <c r="G642" i="3" s="1"/>
  <c r="F638" i="3"/>
  <c r="H638" i="3" s="1"/>
  <c r="G639" i="3" s="1"/>
  <c r="F633" i="3"/>
  <c r="H633" i="3" s="1"/>
  <c r="G634" i="3" s="1"/>
  <c r="F630" i="3"/>
  <c r="H630" i="3" s="1"/>
  <c r="G631" i="3" s="1"/>
  <c r="G629" i="3" s="1"/>
  <c r="H629" i="3" s="1"/>
  <c r="F627" i="3"/>
  <c r="H627" i="3" s="1"/>
  <c r="G628" i="3" s="1"/>
  <c r="H628" i="3" s="1"/>
  <c r="F624" i="3"/>
  <c r="H624" i="3" s="1"/>
  <c r="G625" i="3" s="1"/>
  <c r="F618" i="3"/>
  <c r="H618" i="3" s="1"/>
  <c r="F617" i="3"/>
  <c r="H617" i="3" s="1"/>
  <c r="F614" i="3"/>
  <c r="H614" i="3" s="1"/>
  <c r="F613" i="3"/>
  <c r="H613" i="3" s="1"/>
  <c r="F612" i="3"/>
  <c r="H612" i="3" s="1"/>
  <c r="F607" i="3"/>
  <c r="H607" i="3" s="1"/>
  <c r="F606" i="3"/>
  <c r="H606" i="3" s="1"/>
  <c r="F603" i="3"/>
  <c r="H603" i="3" s="1"/>
  <c r="G604" i="3" s="1"/>
  <c r="F600" i="3"/>
  <c r="H600" i="3" s="1"/>
  <c r="F599" i="3"/>
  <c r="H599" i="3" s="1"/>
  <c r="F596" i="3"/>
  <c r="H596" i="3" s="1"/>
  <c r="F595" i="3"/>
  <c r="H595" i="3" s="1"/>
  <c r="F592" i="3"/>
  <c r="H592" i="3" s="1"/>
  <c r="F591" i="3"/>
  <c r="H591" i="3" s="1"/>
  <c r="F587" i="3"/>
  <c r="H587" i="3" s="1"/>
  <c r="F586" i="3"/>
  <c r="H586" i="3" s="1"/>
  <c r="F583" i="3"/>
  <c r="H583" i="3" s="1"/>
  <c r="F582" i="3"/>
  <c r="H582" i="3" s="1"/>
  <c r="F578" i="3"/>
  <c r="H578" i="3" s="1"/>
  <c r="F577" i="3"/>
  <c r="H577" i="3" s="1"/>
  <c r="F576" i="3"/>
  <c r="H576" i="3" s="1"/>
  <c r="F575" i="3"/>
  <c r="H575" i="3" s="1"/>
  <c r="F572" i="3"/>
  <c r="H572" i="3" s="1"/>
  <c r="G573" i="3" s="1"/>
  <c r="H573" i="3" s="1"/>
  <c r="F568" i="3"/>
  <c r="H568" i="3" s="1"/>
  <c r="F567" i="3"/>
  <c r="H567" i="3" s="1"/>
  <c r="F564" i="3"/>
  <c r="H564" i="3" s="1"/>
  <c r="F563" i="3"/>
  <c r="H563" i="3" s="1"/>
  <c r="F562" i="3"/>
  <c r="H562" i="3" s="1"/>
  <c r="F561" i="3"/>
  <c r="H561" i="3" s="1"/>
  <c r="F560" i="3"/>
  <c r="H560" i="3" s="1"/>
  <c r="F556" i="3"/>
  <c r="H556" i="3" s="1"/>
  <c r="G557" i="3" s="1"/>
  <c r="F552" i="3"/>
  <c r="H552" i="3" s="1"/>
  <c r="F551" i="3"/>
  <c r="H551" i="3" s="1"/>
  <c r="F550" i="3"/>
  <c r="H550" i="3" s="1"/>
  <c r="F549" i="3"/>
  <c r="H549" i="3" s="1"/>
  <c r="F548" i="3"/>
  <c r="H548" i="3" s="1"/>
  <c r="F545" i="3"/>
  <c r="H545" i="3" s="1"/>
  <c r="F544" i="3"/>
  <c r="H544" i="3" s="1"/>
  <c r="F543" i="3"/>
  <c r="H543" i="3" s="1"/>
  <c r="F534" i="3"/>
  <c r="H534" i="3" s="1"/>
  <c r="F533" i="3"/>
  <c r="H533" i="3" s="1"/>
  <c r="F532" i="3"/>
  <c r="H532" i="3" s="1"/>
  <c r="F531" i="3"/>
  <c r="H531" i="3" s="1"/>
  <c r="F530" i="3"/>
  <c r="H530" i="3" s="1"/>
  <c r="F529" i="3"/>
  <c r="H529" i="3" s="1"/>
  <c r="F528" i="3"/>
  <c r="H528" i="3" s="1"/>
  <c r="F527" i="3"/>
  <c r="H527" i="3" s="1"/>
  <c r="F526" i="3"/>
  <c r="H526" i="3" s="1"/>
  <c r="F525" i="3"/>
  <c r="H525" i="3" s="1"/>
  <c r="F524" i="3"/>
  <c r="H524" i="3" s="1"/>
  <c r="F521" i="3"/>
  <c r="H521" i="3" s="1"/>
  <c r="F520" i="3"/>
  <c r="H520" i="3" s="1"/>
  <c r="F517" i="3"/>
  <c r="H517" i="3" s="1"/>
  <c r="F516" i="3"/>
  <c r="H516" i="3" s="1"/>
  <c r="F513" i="3"/>
  <c r="H513" i="3" s="1"/>
  <c r="F512" i="3"/>
  <c r="H512" i="3" s="1"/>
  <c r="F507" i="3"/>
  <c r="H507" i="3" s="1"/>
  <c r="G508" i="3" s="1"/>
  <c r="F504" i="3"/>
  <c r="H504" i="3" s="1"/>
  <c r="F503" i="3"/>
  <c r="H503" i="3" s="1"/>
  <c r="F500" i="3"/>
  <c r="H500" i="3" s="1"/>
  <c r="G501" i="3" s="1"/>
  <c r="F497" i="3"/>
  <c r="H497" i="3" s="1"/>
  <c r="G498" i="3" s="1"/>
  <c r="F494" i="3"/>
  <c r="H494" i="3" s="1"/>
  <c r="F493" i="3"/>
  <c r="H493" i="3" s="1"/>
  <c r="F487" i="3"/>
  <c r="H487" i="3" s="1"/>
  <c r="F486" i="3"/>
  <c r="H486" i="3" s="1"/>
  <c r="F483" i="3"/>
  <c r="H483" i="3" s="1"/>
  <c r="F482" i="3"/>
  <c r="H482" i="3" s="1"/>
  <c r="F481" i="3"/>
  <c r="H481" i="3" s="1"/>
  <c r="F476" i="3"/>
  <c r="H476" i="3" s="1"/>
  <c r="G477" i="3" s="1"/>
  <c r="G475" i="3" s="1"/>
  <c r="H475" i="3" s="1"/>
  <c r="F473" i="3"/>
  <c r="H473" i="3" s="1"/>
  <c r="G474" i="3" s="1"/>
  <c r="F470" i="3"/>
  <c r="H470" i="3" s="1"/>
  <c r="F469" i="3"/>
  <c r="H469" i="3" s="1"/>
  <c r="F466" i="3"/>
  <c r="H466" i="3" s="1"/>
  <c r="F465" i="3"/>
  <c r="H465" i="3" s="1"/>
  <c r="F462" i="3"/>
  <c r="H462" i="3" s="1"/>
  <c r="F461" i="3"/>
  <c r="H461" i="3" s="1"/>
  <c r="F457" i="3"/>
  <c r="H457" i="3" s="1"/>
  <c r="F456" i="3"/>
  <c r="H456" i="3" s="1"/>
  <c r="F453" i="3"/>
  <c r="H453" i="3" s="1"/>
  <c r="F452" i="3"/>
  <c r="H452" i="3" s="1"/>
  <c r="F449" i="3"/>
  <c r="H449" i="3" s="1"/>
  <c r="F448" i="3"/>
  <c r="H448" i="3" s="1"/>
  <c r="F447" i="3"/>
  <c r="H447" i="3" s="1"/>
  <c r="F446" i="3"/>
  <c r="H446" i="3" s="1"/>
  <c r="F445" i="3"/>
  <c r="H445" i="3" s="1"/>
  <c r="F441" i="3"/>
  <c r="H441" i="3" s="1"/>
  <c r="F440" i="3"/>
  <c r="H440" i="3" s="1"/>
  <c r="F439" i="3"/>
  <c r="H439" i="3" s="1"/>
  <c r="F438" i="3"/>
  <c r="H438" i="3" s="1"/>
  <c r="F437" i="3"/>
  <c r="H437" i="3" s="1"/>
  <c r="F434" i="3"/>
  <c r="H434" i="3" s="1"/>
  <c r="G435" i="3" s="1"/>
  <c r="F430" i="3"/>
  <c r="H430" i="3" s="1"/>
  <c r="F429" i="3"/>
  <c r="H429" i="3" s="1"/>
  <c r="F428" i="3"/>
  <c r="H428" i="3" s="1"/>
  <c r="F427" i="3"/>
  <c r="H427" i="3" s="1"/>
  <c r="F424" i="3"/>
  <c r="H424" i="3" s="1"/>
  <c r="F423" i="3"/>
  <c r="H423" i="3" s="1"/>
  <c r="F422" i="3"/>
  <c r="H422" i="3" s="1"/>
  <c r="F421" i="3"/>
  <c r="H421" i="3" s="1"/>
  <c r="F420" i="3"/>
  <c r="H420" i="3" s="1"/>
  <c r="F419" i="3"/>
  <c r="H419" i="3" s="1"/>
  <c r="F418" i="3"/>
  <c r="H418" i="3" s="1"/>
  <c r="F417" i="3"/>
  <c r="H417" i="3" s="1"/>
  <c r="F416" i="3"/>
  <c r="H416" i="3" s="1"/>
  <c r="F415" i="3"/>
  <c r="H415" i="3" s="1"/>
  <c r="F411" i="3"/>
  <c r="H411" i="3" s="1"/>
  <c r="G412" i="3" s="1"/>
  <c r="F407" i="3"/>
  <c r="H407" i="3" s="1"/>
  <c r="G408" i="3" s="1"/>
  <c r="F404" i="3"/>
  <c r="H404" i="3" s="1"/>
  <c r="F403" i="3"/>
  <c r="H403" i="3" s="1"/>
  <c r="F402" i="3"/>
  <c r="H402" i="3" s="1"/>
  <c r="F401" i="3"/>
  <c r="H401" i="3" s="1"/>
  <c r="F400" i="3"/>
  <c r="H400" i="3" s="1"/>
  <c r="F399" i="3"/>
  <c r="H399" i="3" s="1"/>
  <c r="F396" i="3"/>
  <c r="H396" i="3" s="1"/>
  <c r="F395" i="3"/>
  <c r="H395" i="3" s="1"/>
  <c r="F394" i="3"/>
  <c r="H394" i="3" s="1"/>
  <c r="F385" i="3"/>
  <c r="H385" i="3" s="1"/>
  <c r="F384" i="3"/>
  <c r="H384" i="3" s="1"/>
  <c r="F381" i="3"/>
  <c r="H381" i="3" s="1"/>
  <c r="F380" i="3"/>
  <c r="H380" i="3" s="1"/>
  <c r="F376" i="3"/>
  <c r="H376" i="3" s="1"/>
  <c r="F375" i="3"/>
  <c r="H375" i="3" s="1"/>
  <c r="F374" i="3"/>
  <c r="H374" i="3" s="1"/>
  <c r="F373" i="3"/>
  <c r="H373" i="3" s="1"/>
  <c r="F372" i="3"/>
  <c r="H372" i="3" s="1"/>
  <c r="F371" i="3"/>
  <c r="H371" i="3" s="1"/>
  <c r="F368" i="3"/>
  <c r="H368" i="3" s="1"/>
  <c r="F367" i="3"/>
  <c r="H367" i="3" s="1"/>
  <c r="F366" i="3"/>
  <c r="H366" i="3" s="1"/>
  <c r="F365" i="3"/>
  <c r="H365" i="3" s="1"/>
  <c r="F364" i="3"/>
  <c r="H364" i="3" s="1"/>
  <c r="F361" i="3"/>
  <c r="H361" i="3" s="1"/>
  <c r="F360" i="3"/>
  <c r="H360" i="3" s="1"/>
  <c r="F359" i="3"/>
  <c r="H359" i="3" s="1"/>
  <c r="F358" i="3"/>
  <c r="H358" i="3" s="1"/>
  <c r="F357" i="3"/>
  <c r="H357" i="3" s="1"/>
  <c r="F354" i="3"/>
  <c r="H354" i="3" s="1"/>
  <c r="F353" i="3"/>
  <c r="H353" i="3" s="1"/>
  <c r="F352" i="3"/>
  <c r="H352" i="3" s="1"/>
  <c r="F351" i="3"/>
  <c r="H351" i="3" s="1"/>
  <c r="F350" i="3"/>
  <c r="H350" i="3" s="1"/>
  <c r="F349" i="3"/>
  <c r="H349" i="3" s="1"/>
  <c r="F348" i="3"/>
  <c r="H348" i="3" s="1"/>
  <c r="F345" i="3"/>
  <c r="H345" i="3" s="1"/>
  <c r="F344" i="3"/>
  <c r="H344" i="3" s="1"/>
  <c r="F343" i="3"/>
  <c r="H343" i="3" s="1"/>
  <c r="F342" i="3"/>
  <c r="H342" i="3" s="1"/>
  <c r="F339" i="3"/>
  <c r="H339" i="3" s="1"/>
  <c r="F338" i="3"/>
  <c r="H338" i="3" s="1"/>
  <c r="F337" i="3"/>
  <c r="H337" i="3" s="1"/>
  <c r="F336" i="3"/>
  <c r="H336" i="3" s="1"/>
  <c r="F335" i="3"/>
  <c r="H335" i="3" s="1"/>
  <c r="F334" i="3"/>
  <c r="H334" i="3" s="1"/>
  <c r="F333" i="3"/>
  <c r="H333" i="3" s="1"/>
  <c r="F330" i="3"/>
  <c r="H330" i="3" s="1"/>
  <c r="F329" i="3"/>
  <c r="H329" i="3" s="1"/>
  <c r="F328" i="3"/>
  <c r="H328" i="3" s="1"/>
  <c r="F327" i="3"/>
  <c r="H327" i="3" s="1"/>
  <c r="F326" i="3"/>
  <c r="H326" i="3" s="1"/>
  <c r="F325" i="3"/>
  <c r="H325" i="3" s="1"/>
  <c r="F322" i="3"/>
  <c r="H322" i="3" s="1"/>
  <c r="F321" i="3"/>
  <c r="H321" i="3" s="1"/>
  <c r="F320" i="3"/>
  <c r="H320" i="3" s="1"/>
  <c r="F319" i="3"/>
  <c r="H319" i="3" s="1"/>
  <c r="F318" i="3"/>
  <c r="H318" i="3" s="1"/>
  <c r="F317" i="3"/>
  <c r="H317" i="3" s="1"/>
  <c r="F316" i="3"/>
  <c r="H316" i="3" s="1"/>
  <c r="F315" i="3"/>
  <c r="H315" i="3" s="1"/>
  <c r="F314" i="3"/>
  <c r="H314" i="3" s="1"/>
  <c r="F313" i="3"/>
  <c r="H313" i="3" s="1"/>
  <c r="F312" i="3"/>
  <c r="H312" i="3" s="1"/>
  <c r="F309" i="3"/>
  <c r="H309" i="3" s="1"/>
  <c r="F308" i="3"/>
  <c r="H308" i="3" s="1"/>
  <c r="F307" i="3"/>
  <c r="H307" i="3" s="1"/>
  <c r="F306" i="3"/>
  <c r="H306" i="3" s="1"/>
  <c r="F305" i="3"/>
  <c r="H305" i="3" s="1"/>
  <c r="F304" i="3"/>
  <c r="H304" i="3" s="1"/>
  <c r="F299" i="3"/>
  <c r="H299" i="3" s="1"/>
  <c r="G300" i="3" s="1"/>
  <c r="F296" i="3"/>
  <c r="H296" i="3" s="1"/>
  <c r="F295" i="3"/>
  <c r="H295" i="3" s="1"/>
  <c r="F294" i="3"/>
  <c r="H294" i="3" s="1"/>
  <c r="F293" i="3"/>
  <c r="H293" i="3" s="1"/>
  <c r="F292" i="3"/>
  <c r="H292" i="3" s="1"/>
  <c r="F291" i="3"/>
  <c r="H291" i="3" s="1"/>
  <c r="F288" i="3"/>
  <c r="H288" i="3" s="1"/>
  <c r="G289" i="3" s="1"/>
  <c r="F285" i="3"/>
  <c r="H285" i="3" s="1"/>
  <c r="F284" i="3"/>
  <c r="H284" i="3" s="1"/>
  <c r="F283" i="3"/>
  <c r="H283" i="3" s="1"/>
  <c r="F282" i="3"/>
  <c r="H282" i="3" s="1"/>
  <c r="F277" i="3"/>
  <c r="H277" i="3" s="1"/>
  <c r="F276" i="3"/>
  <c r="H276" i="3" s="1"/>
  <c r="F273" i="3"/>
  <c r="H273" i="3" s="1"/>
  <c r="F272" i="3"/>
  <c r="H272" i="3" s="1"/>
  <c r="F269" i="3"/>
  <c r="H269" i="3" s="1"/>
  <c r="F268" i="3"/>
  <c r="H268" i="3" s="1"/>
  <c r="F262" i="3"/>
  <c r="H262" i="3" s="1"/>
  <c r="F261" i="3"/>
  <c r="H261" i="3" s="1"/>
  <c r="F258" i="3"/>
  <c r="H258" i="3" s="1"/>
  <c r="G259" i="3" s="1"/>
  <c r="F254" i="3"/>
  <c r="H254" i="3" s="1"/>
  <c r="F253" i="3"/>
  <c r="H253" i="3" s="1"/>
  <c r="F252" i="3"/>
  <c r="H252" i="3" s="1"/>
  <c r="F251" i="3"/>
  <c r="H251" i="3" s="1"/>
  <c r="F250" i="3"/>
  <c r="H250" i="3" s="1"/>
  <c r="F249" i="3"/>
  <c r="H249" i="3" s="1"/>
  <c r="F246" i="3"/>
  <c r="H246" i="3" s="1"/>
  <c r="F245" i="3"/>
  <c r="H245" i="3" s="1"/>
  <c r="F244" i="3"/>
  <c r="H244" i="3" s="1"/>
  <c r="F243" i="3"/>
  <c r="H243" i="3" s="1"/>
  <c r="F242" i="3"/>
  <c r="H242" i="3" s="1"/>
  <c r="F241" i="3"/>
  <c r="H241" i="3" s="1"/>
  <c r="F240" i="3"/>
  <c r="H240" i="3" s="1"/>
  <c r="F239" i="3"/>
  <c r="H239" i="3" s="1"/>
  <c r="F238" i="3"/>
  <c r="H238" i="3" s="1"/>
  <c r="F235" i="3"/>
  <c r="H235" i="3" s="1"/>
  <c r="F234" i="3"/>
  <c r="H234" i="3" s="1"/>
  <c r="F233" i="3"/>
  <c r="H233" i="3" s="1"/>
  <c r="F232" i="3"/>
  <c r="H232" i="3" s="1"/>
  <c r="F231" i="3"/>
  <c r="H231" i="3" s="1"/>
  <c r="F230" i="3"/>
  <c r="H230" i="3" s="1"/>
  <c r="F229" i="3"/>
  <c r="H229" i="3" s="1"/>
  <c r="F226" i="3"/>
  <c r="H226" i="3" s="1"/>
  <c r="F225" i="3"/>
  <c r="H225" i="3" s="1"/>
  <c r="F224" i="3"/>
  <c r="H224" i="3" s="1"/>
  <c r="F223" i="3"/>
  <c r="H223" i="3" s="1"/>
  <c r="F222" i="3"/>
  <c r="H222" i="3" s="1"/>
  <c r="F221" i="3"/>
  <c r="H221" i="3" s="1"/>
  <c r="F220" i="3"/>
  <c r="H220" i="3" s="1"/>
  <c r="F217" i="3"/>
  <c r="H217" i="3" s="1"/>
  <c r="F216" i="3"/>
  <c r="H216" i="3" s="1"/>
  <c r="F215" i="3"/>
  <c r="H215" i="3" s="1"/>
  <c r="F214" i="3"/>
  <c r="H214" i="3" s="1"/>
  <c r="F213" i="3"/>
  <c r="H213" i="3" s="1"/>
  <c r="F212" i="3"/>
  <c r="H212" i="3" s="1"/>
  <c r="F211" i="3"/>
  <c r="H211" i="3" s="1"/>
  <c r="F208" i="3"/>
  <c r="H208" i="3" s="1"/>
  <c r="F207" i="3"/>
  <c r="H207" i="3" s="1"/>
  <c r="F206" i="3"/>
  <c r="H206" i="3" s="1"/>
  <c r="F205" i="3"/>
  <c r="H205" i="3" s="1"/>
  <c r="F204" i="3"/>
  <c r="H204" i="3" s="1"/>
  <c r="F203" i="3"/>
  <c r="H203" i="3" s="1"/>
  <c r="F202" i="3"/>
  <c r="H202" i="3" s="1"/>
  <c r="F201" i="3"/>
  <c r="H201" i="3" s="1"/>
  <c r="F198" i="3"/>
  <c r="H198" i="3" s="1"/>
  <c r="F197" i="3"/>
  <c r="H197" i="3" s="1"/>
  <c r="F196" i="3"/>
  <c r="H196" i="3" s="1"/>
  <c r="F195" i="3"/>
  <c r="H195" i="3" s="1"/>
  <c r="F194" i="3"/>
  <c r="H194" i="3" s="1"/>
  <c r="F193" i="3"/>
  <c r="H193" i="3" s="1"/>
  <c r="F192" i="3"/>
  <c r="H192" i="3" s="1"/>
  <c r="F191" i="3"/>
  <c r="H191" i="3" s="1"/>
  <c r="F188" i="3"/>
  <c r="H188" i="3" s="1"/>
  <c r="F187" i="3"/>
  <c r="H187" i="3" s="1"/>
  <c r="F186" i="3"/>
  <c r="H186" i="3" s="1"/>
  <c r="F185" i="3"/>
  <c r="H185" i="3" s="1"/>
  <c r="F184" i="3"/>
  <c r="H184" i="3" s="1"/>
  <c r="F183" i="3"/>
  <c r="H183" i="3" s="1"/>
  <c r="F182" i="3"/>
  <c r="H182" i="3" s="1"/>
  <c r="F181" i="3"/>
  <c r="H181" i="3" s="1"/>
  <c r="F178" i="3"/>
  <c r="H178" i="3" s="1"/>
  <c r="F177" i="3"/>
  <c r="H177" i="3" s="1"/>
  <c r="F176" i="3"/>
  <c r="H176" i="3" s="1"/>
  <c r="F175" i="3"/>
  <c r="H175" i="3" s="1"/>
  <c r="F174" i="3"/>
  <c r="H174" i="3" s="1"/>
  <c r="F173" i="3"/>
  <c r="H173" i="3" s="1"/>
  <c r="F172" i="3"/>
  <c r="H172" i="3" s="1"/>
  <c r="F171" i="3"/>
  <c r="H171" i="3" s="1"/>
  <c r="H170" i="3"/>
  <c r="F170" i="3"/>
  <c r="F169" i="3"/>
  <c r="H169" i="3" s="1"/>
  <c r="F168" i="3"/>
  <c r="H168" i="3" s="1"/>
  <c r="F165" i="3"/>
  <c r="H165" i="3" s="1"/>
  <c r="F164" i="3"/>
  <c r="H164" i="3" s="1"/>
  <c r="F163" i="3"/>
  <c r="H163" i="3" s="1"/>
  <c r="F162" i="3"/>
  <c r="H162" i="3" s="1"/>
  <c r="F161" i="3"/>
  <c r="H161" i="3" s="1"/>
  <c r="F160" i="3"/>
  <c r="H160" i="3" s="1"/>
  <c r="F159" i="3"/>
  <c r="H159" i="3" s="1"/>
  <c r="F154" i="3"/>
  <c r="H154" i="3" s="1"/>
  <c r="G155" i="3" s="1"/>
  <c r="F151" i="3"/>
  <c r="H151" i="3" s="1"/>
  <c r="F150" i="3"/>
  <c r="H150" i="3" s="1"/>
  <c r="F149" i="3"/>
  <c r="H149" i="3" s="1"/>
  <c r="F148" i="3"/>
  <c r="H148" i="3" s="1"/>
  <c r="F147" i="3"/>
  <c r="H147" i="3" s="1"/>
  <c r="F146" i="3"/>
  <c r="H146" i="3" s="1"/>
  <c r="F143" i="3"/>
  <c r="H143" i="3" s="1"/>
  <c r="G144" i="3" s="1"/>
  <c r="H144" i="3" s="1"/>
  <c r="F140" i="3"/>
  <c r="H140" i="3" s="1"/>
  <c r="F139" i="3"/>
  <c r="H139" i="3" s="1"/>
  <c r="F138" i="3"/>
  <c r="H138" i="3" s="1"/>
  <c r="F137" i="3"/>
  <c r="H137" i="3" s="1"/>
  <c r="F132" i="3"/>
  <c r="H132" i="3" s="1"/>
  <c r="F131" i="3"/>
  <c r="H131" i="3" s="1"/>
  <c r="F128" i="3"/>
  <c r="H128" i="3" s="1"/>
  <c r="F127" i="3"/>
  <c r="H127" i="3" s="1"/>
  <c r="F124" i="3"/>
  <c r="H124" i="3" s="1"/>
  <c r="F123" i="3"/>
  <c r="H123" i="3" s="1"/>
  <c r="F116" i="3"/>
  <c r="H116" i="3" s="1"/>
  <c r="F115" i="3"/>
  <c r="H115" i="3" s="1"/>
  <c r="F114" i="3"/>
  <c r="H114" i="3" s="1"/>
  <c r="F113" i="3"/>
  <c r="H113" i="3" s="1"/>
  <c r="F112" i="3"/>
  <c r="H112" i="3" s="1"/>
  <c r="F111" i="3"/>
  <c r="H111" i="3" s="1"/>
  <c r="F107" i="3"/>
  <c r="H107" i="3" s="1"/>
  <c r="G108" i="3" s="1"/>
  <c r="H104" i="3"/>
  <c r="F104" i="3"/>
  <c r="F103" i="3"/>
  <c r="H103" i="3" s="1"/>
  <c r="F102" i="3"/>
  <c r="H102" i="3" s="1"/>
  <c r="F101" i="3"/>
  <c r="H101" i="3" s="1"/>
  <c r="F98" i="3"/>
  <c r="H98" i="3" s="1"/>
  <c r="F97" i="3"/>
  <c r="H97" i="3" s="1"/>
  <c r="F96" i="3"/>
  <c r="H96" i="3" s="1"/>
  <c r="F93" i="3"/>
  <c r="H93" i="3" s="1"/>
  <c r="F92" i="3"/>
  <c r="H92" i="3" s="1"/>
  <c r="F91" i="3"/>
  <c r="H91" i="3" s="1"/>
  <c r="F88" i="3"/>
  <c r="H88" i="3" s="1"/>
  <c r="H87" i="3"/>
  <c r="F87" i="3"/>
  <c r="F82" i="3"/>
  <c r="H82" i="3" s="1"/>
  <c r="F81" i="3"/>
  <c r="H81" i="3" s="1"/>
  <c r="F80" i="3"/>
  <c r="H80" i="3" s="1"/>
  <c r="F79" i="3"/>
  <c r="H79" i="3" s="1"/>
  <c r="F78" i="3"/>
  <c r="H78" i="3" s="1"/>
  <c r="F75" i="3"/>
  <c r="H75" i="3" s="1"/>
  <c r="F74" i="3"/>
  <c r="H74" i="3" s="1"/>
  <c r="F73" i="3"/>
  <c r="H73" i="3" s="1"/>
  <c r="F70" i="3"/>
  <c r="H70" i="3" s="1"/>
  <c r="F69" i="3"/>
  <c r="H69" i="3" s="1"/>
  <c r="F68" i="3"/>
  <c r="H68" i="3" s="1"/>
  <c r="F67" i="3"/>
  <c r="H67" i="3" s="1"/>
  <c r="F66" i="3"/>
  <c r="H66" i="3" s="1"/>
  <c r="F65" i="3"/>
  <c r="H65" i="3" s="1"/>
  <c r="F64" i="3"/>
  <c r="H64" i="3" s="1"/>
  <c r="F63" i="3"/>
  <c r="H63" i="3" s="1"/>
  <c r="F62" i="3"/>
  <c r="H62" i="3" s="1"/>
  <c r="F61" i="3"/>
  <c r="H61" i="3" s="1"/>
  <c r="F60" i="3"/>
  <c r="H60" i="3" s="1"/>
  <c r="F59" i="3"/>
  <c r="H59" i="3" s="1"/>
  <c r="F58" i="3"/>
  <c r="H58" i="3" s="1"/>
  <c r="F57" i="3"/>
  <c r="H57" i="3" s="1"/>
  <c r="F56" i="3"/>
  <c r="H56" i="3" s="1"/>
  <c r="F55" i="3"/>
  <c r="H55" i="3" s="1"/>
  <c r="F54" i="3"/>
  <c r="H54" i="3" s="1"/>
  <c r="F50" i="3"/>
  <c r="H50" i="3" s="1"/>
  <c r="F49" i="3"/>
  <c r="H49" i="3" s="1"/>
  <c r="F48" i="3"/>
  <c r="H48" i="3" s="1"/>
  <c r="F47" i="3"/>
  <c r="H47" i="3" s="1"/>
  <c r="F46" i="3"/>
  <c r="H46" i="3" s="1"/>
  <c r="F45" i="3"/>
  <c r="H45" i="3" s="1"/>
  <c r="F44" i="3"/>
  <c r="H44" i="3" s="1"/>
  <c r="F43" i="3"/>
  <c r="H43" i="3" s="1"/>
  <c r="F40" i="3"/>
  <c r="H40" i="3" s="1"/>
  <c r="G41" i="3" s="1"/>
  <c r="F36" i="3"/>
  <c r="H36" i="3" s="1"/>
  <c r="F35" i="3"/>
  <c r="H35" i="3" s="1"/>
  <c r="F32" i="3"/>
  <c r="H32" i="3" s="1"/>
  <c r="F31" i="3"/>
  <c r="H31" i="3" s="1"/>
  <c r="F28" i="3"/>
  <c r="H28" i="3" s="1"/>
  <c r="F27" i="3"/>
  <c r="H27" i="3" s="1"/>
  <c r="F26" i="3"/>
  <c r="H26" i="3" s="1"/>
  <c r="F25" i="3"/>
  <c r="H25" i="3" s="1"/>
  <c r="F24" i="3"/>
  <c r="H24" i="3" s="1"/>
  <c r="F32" i="2"/>
  <c r="D29" i="2"/>
  <c r="F29" i="2" s="1"/>
  <c r="D23" i="2"/>
  <c r="F23" i="2" s="1"/>
  <c r="D20" i="2"/>
  <c r="F20" i="2" s="1"/>
  <c r="D33" i="1"/>
  <c r="F33" i="1" s="1"/>
  <c r="D30" i="1"/>
  <c r="F30" i="1" s="1"/>
  <c r="D23" i="1"/>
  <c r="F23" i="1" s="1"/>
  <c r="D20" i="1"/>
  <c r="F20" i="1" s="1"/>
  <c r="G1490" i="3" l="1"/>
  <c r="G831" i="3"/>
  <c r="H831" i="3" s="1"/>
  <c r="G593" i="3"/>
  <c r="G590" i="3" s="1"/>
  <c r="H590" i="3" s="1"/>
  <c r="G569" i="3"/>
  <c r="G566" i="3" s="1"/>
  <c r="H566" i="3" s="1"/>
  <c r="G495" i="3"/>
  <c r="H495" i="3" s="1"/>
  <c r="G270" i="3"/>
  <c r="H270" i="3" s="1"/>
  <c r="G819" i="3"/>
  <c r="H819" i="3" s="1"/>
  <c r="G1535" i="3"/>
  <c r="G1532" i="3" s="1"/>
  <c r="H1532" i="3" s="1"/>
  <c r="G1430" i="3"/>
  <c r="G1427" i="3" s="1"/>
  <c r="H1427" i="3" s="1"/>
  <c r="G1241" i="3"/>
  <c r="G1229" i="3" s="1"/>
  <c r="H1229" i="3" s="1"/>
  <c r="G673" i="3"/>
  <c r="H673" i="3" s="1"/>
  <c r="G601" i="3"/>
  <c r="G598" i="3" s="1"/>
  <c r="H598" i="3" s="1"/>
  <c r="G579" i="3"/>
  <c r="G574" i="3" s="1"/>
  <c r="H574" i="3" s="1"/>
  <c r="G278" i="3"/>
  <c r="G275" i="3" s="1"/>
  <c r="H275" i="3" s="1"/>
  <c r="G142" i="3"/>
  <c r="H142" i="3" s="1"/>
  <c r="G458" i="3"/>
  <c r="H458" i="3" s="1"/>
  <c r="G37" i="3"/>
  <c r="H37" i="3" s="1"/>
  <c r="G471" i="3"/>
  <c r="H471" i="3" s="1"/>
  <c r="G546" i="3"/>
  <c r="G542" i="3" s="1"/>
  <c r="H542" i="3" s="1"/>
  <c r="G675" i="3"/>
  <c r="H675" i="3" s="1"/>
  <c r="G1249" i="3"/>
  <c r="H1249" i="3" s="1"/>
  <c r="G1250" i="3" s="1"/>
  <c r="G1497" i="3"/>
  <c r="H1497" i="3" s="1"/>
  <c r="G1530" i="3"/>
  <c r="H1530" i="3" s="1"/>
  <c r="G1531" i="3" s="1"/>
  <c r="G382" i="3"/>
  <c r="H382" i="3" s="1"/>
  <c r="H669" i="3"/>
  <c r="G667" i="3"/>
  <c r="H667" i="3" s="1"/>
  <c r="G467" i="3"/>
  <c r="H467" i="3" s="1"/>
  <c r="H634" i="3"/>
  <c r="G632" i="3"/>
  <c r="H632" i="3" s="1"/>
  <c r="G1148" i="3"/>
  <c r="H1148" i="3" s="1"/>
  <c r="G76" i="3"/>
  <c r="H76" i="3" s="1"/>
  <c r="G133" i="3"/>
  <c r="G130" i="3" s="1"/>
  <c r="H130" i="3" s="1"/>
  <c r="G588" i="3"/>
  <c r="H588" i="3" s="1"/>
  <c r="G597" i="3"/>
  <c r="H597" i="3" s="1"/>
  <c r="G1412" i="3"/>
  <c r="G1409" i="3" s="1"/>
  <c r="H1409" i="3" s="1"/>
  <c r="G505" i="3"/>
  <c r="G502" i="3" s="1"/>
  <c r="H502" i="3" s="1"/>
  <c r="G522" i="3"/>
  <c r="H522" i="3" s="1"/>
  <c r="G619" i="3"/>
  <c r="G616" i="3" s="1"/>
  <c r="H616" i="3" s="1"/>
  <c r="G1506" i="3"/>
  <c r="H1506" i="3" s="1"/>
  <c r="H639" i="3"/>
  <c r="G637" i="3"/>
  <c r="H637" i="3" s="1"/>
  <c r="G812" i="3"/>
  <c r="H812" i="3" s="1"/>
  <c r="G33" i="3"/>
  <c r="H33" i="3" s="1"/>
  <c r="G450" i="3"/>
  <c r="H450" i="3" s="1"/>
  <c r="G94" i="3"/>
  <c r="H94" i="3" s="1"/>
  <c r="G83" i="3"/>
  <c r="H83" i="3" s="1"/>
  <c r="G89" i="3"/>
  <c r="G86" i="3" s="1"/>
  <c r="H86" i="3" s="1"/>
  <c r="G99" i="3"/>
  <c r="H99" i="3" s="1"/>
  <c r="G166" i="3"/>
  <c r="G158" i="3" s="1"/>
  <c r="H158" i="3" s="1"/>
  <c r="G274" i="3"/>
  <c r="H274" i="3" s="1"/>
  <c r="G331" i="3"/>
  <c r="H331" i="3" s="1"/>
  <c r="G518" i="3"/>
  <c r="G514" i="3"/>
  <c r="G565" i="3"/>
  <c r="G559" i="3" s="1"/>
  <c r="H559" i="3" s="1"/>
  <c r="G584" i="3"/>
  <c r="H584" i="3" s="1"/>
  <c r="G665" i="3"/>
  <c r="H665" i="3" s="1"/>
  <c r="G685" i="3"/>
  <c r="G1374" i="3"/>
  <c r="H1374" i="3" s="1"/>
  <c r="G377" i="3"/>
  <c r="H377" i="3" s="1"/>
  <c r="G386" i="3"/>
  <c r="G383" i="3" s="1"/>
  <c r="H383" i="3" s="1"/>
  <c r="F35" i="1"/>
  <c r="F12" i="1" s="1"/>
  <c r="G263" i="3"/>
  <c r="H263" i="3" s="1"/>
  <c r="G362" i="3"/>
  <c r="H362" i="3" s="1"/>
  <c r="G1055" i="3"/>
  <c r="G1033" i="3" s="1"/>
  <c r="H1033" i="3" s="1"/>
  <c r="G105" i="3"/>
  <c r="G100" i="3" s="1"/>
  <c r="H100" i="3" s="1"/>
  <c r="G117" i="3"/>
  <c r="H117" i="3" s="1"/>
  <c r="G286" i="3"/>
  <c r="G281" i="3" s="1"/>
  <c r="H281" i="3" s="1"/>
  <c r="G608" i="3"/>
  <c r="H608" i="3" s="1"/>
  <c r="G830" i="3"/>
  <c r="H830" i="3" s="1"/>
  <c r="G1196" i="3"/>
  <c r="H1196" i="3" s="1"/>
  <c r="H1198" i="3"/>
  <c r="G1512" i="3"/>
  <c r="G1507" i="3" s="1"/>
  <c r="H1507" i="3" s="1"/>
  <c r="G1011" i="3"/>
  <c r="H1011" i="3" s="1"/>
  <c r="G1093" i="3"/>
  <c r="H1093" i="3" s="1"/>
  <c r="G1205" i="3"/>
  <c r="H1205" i="3" s="1"/>
  <c r="G1343" i="3"/>
  <c r="H1343" i="3" s="1"/>
  <c r="G1435" i="3"/>
  <c r="G1431" i="3" s="1"/>
  <c r="H1431" i="3" s="1"/>
  <c r="G1478" i="3"/>
  <c r="G1472" i="3" s="1"/>
  <c r="H1472" i="3" s="1"/>
  <c r="C40" i="4" s="1"/>
  <c r="G1060" i="3"/>
  <c r="G1056" i="3" s="1"/>
  <c r="H1056" i="3" s="1"/>
  <c r="G1352" i="3"/>
  <c r="H1352" i="3" s="1"/>
  <c r="G1066" i="3"/>
  <c r="G1061" i="3" s="1"/>
  <c r="H1061" i="3" s="1"/>
  <c r="G1101" i="3"/>
  <c r="G1094" i="3" s="1"/>
  <c r="H1094" i="3" s="1"/>
  <c r="G236" i="3"/>
  <c r="G257" i="3"/>
  <c r="H257" i="3" s="1"/>
  <c r="H259" i="3"/>
  <c r="G431" i="3"/>
  <c r="G623" i="3"/>
  <c r="H623" i="3" s="1"/>
  <c r="H625" i="3"/>
  <c r="G640" i="3"/>
  <c r="H640" i="3" s="1"/>
  <c r="H642" i="3"/>
  <c r="G29" i="3"/>
  <c r="G125" i="3"/>
  <c r="G179" i="3"/>
  <c r="G209" i="3"/>
  <c r="G340" i="3"/>
  <c r="G706" i="3"/>
  <c r="G189" i="3"/>
  <c r="G499" i="3"/>
  <c r="H499" i="3" s="1"/>
  <c r="H501" i="3"/>
  <c r="G152" i="3"/>
  <c r="G323" i="3"/>
  <c r="H412" i="3"/>
  <c r="G410" i="3"/>
  <c r="H410" i="3" s="1"/>
  <c r="G247" i="3"/>
  <c r="F34" i="2"/>
  <c r="F12" i="2" s="1"/>
  <c r="G129" i="3"/>
  <c r="G153" i="3"/>
  <c r="H153" i="3" s="1"/>
  <c r="H155" i="3"/>
  <c r="G287" i="3"/>
  <c r="H287" i="3" s="1"/>
  <c r="H289" i="3"/>
  <c r="G405" i="3"/>
  <c r="G39" i="3"/>
  <c r="H39" i="3" s="1"/>
  <c r="H41" i="3"/>
  <c r="G141" i="3"/>
  <c r="G298" i="3"/>
  <c r="H298" i="3" s="1"/>
  <c r="H300" i="3"/>
  <c r="H108" i="3"/>
  <c r="G106" i="3"/>
  <c r="H106" i="3" s="1"/>
  <c r="G218" i="3"/>
  <c r="G442" i="3"/>
  <c r="G839" i="3"/>
  <c r="G1001" i="3"/>
  <c r="H1030" i="3"/>
  <c r="G51" i="3"/>
  <c r="G297" i="3"/>
  <c r="G397" i="3"/>
  <c r="H508" i="3"/>
  <c r="G506" i="3"/>
  <c r="H506" i="3" s="1"/>
  <c r="G535" i="3"/>
  <c r="H1014" i="3"/>
  <c r="G1390" i="3"/>
  <c r="H477" i="3"/>
  <c r="G488" i="3"/>
  <c r="G571" i="3"/>
  <c r="H571" i="3" s="1"/>
  <c r="H631" i="3"/>
  <c r="G1179" i="3"/>
  <c r="H1398" i="3"/>
  <c r="G1396" i="3"/>
  <c r="H1396" i="3" s="1"/>
  <c r="H474" i="3"/>
  <c r="G472" i="3"/>
  <c r="H472" i="3" s="1"/>
  <c r="H557" i="3"/>
  <c r="G555" i="3"/>
  <c r="H555" i="3" s="1"/>
  <c r="G454" i="3"/>
  <c r="G425" i="3"/>
  <c r="G1283" i="3"/>
  <c r="G1290" i="3"/>
  <c r="G199" i="3"/>
  <c r="G255" i="3"/>
  <c r="G310" i="3"/>
  <c r="G463" i="3"/>
  <c r="G369" i="3"/>
  <c r="H408" i="3"/>
  <c r="G406" i="3"/>
  <c r="H406" i="3" s="1"/>
  <c r="G784" i="3"/>
  <c r="G1311" i="3"/>
  <c r="H1311" i="3" s="1"/>
  <c r="H1313" i="3"/>
  <c r="G653" i="3"/>
  <c r="G346" i="3"/>
  <c r="G355" i="3"/>
  <c r="G484" i="3"/>
  <c r="G553" i="3"/>
  <c r="H604" i="3"/>
  <c r="G602" i="3"/>
  <c r="H602" i="3" s="1"/>
  <c r="G930" i="3"/>
  <c r="G227" i="3"/>
  <c r="G769" i="3"/>
  <c r="G71" i="3"/>
  <c r="G433" i="3"/>
  <c r="H433" i="3" s="1"/>
  <c r="H435" i="3"/>
  <c r="H498" i="3"/>
  <c r="G496" i="3"/>
  <c r="H496" i="3" s="1"/>
  <c r="G615" i="3"/>
  <c r="G626" i="3"/>
  <c r="H626" i="3" s="1"/>
  <c r="G646" i="3"/>
  <c r="G958" i="3"/>
  <c r="G972" i="3"/>
  <c r="G1142" i="3"/>
  <c r="G1168" i="3"/>
  <c r="G1195" i="3"/>
  <c r="G1297" i="3"/>
  <c r="G947" i="3"/>
  <c r="G1126" i="3"/>
  <c r="G1264" i="3"/>
  <c r="G1310" i="3"/>
  <c r="G813" i="3"/>
  <c r="H813" i="3" s="1"/>
  <c r="G870" i="3"/>
  <c r="G1109" i="3"/>
  <c r="G1118" i="3"/>
  <c r="G1159" i="3"/>
  <c r="G1273" i="3"/>
  <c r="G906" i="3"/>
  <c r="G911" i="3"/>
  <c r="G1408" i="3"/>
  <c r="H1538" i="3"/>
  <c r="G1536" i="3"/>
  <c r="H1536" i="3" s="1"/>
  <c r="G1134" i="3"/>
  <c r="G1426" i="3"/>
  <c r="G1459" i="3"/>
  <c r="G1320" i="3"/>
  <c r="H1521" i="3"/>
  <c r="G1519" i="3"/>
  <c r="H1519" i="3" s="1"/>
  <c r="G1027" i="3"/>
  <c r="G1076" i="3"/>
  <c r="G900" i="3"/>
  <c r="G1228" i="3"/>
  <c r="G1480" i="3"/>
  <c r="H1480" i="3" s="1"/>
  <c r="H1482" i="3"/>
  <c r="G1483" i="3" s="1"/>
  <c r="G1518" i="3"/>
  <c r="G1395" i="3"/>
  <c r="G1470" i="3"/>
  <c r="G1494" i="3" l="1"/>
  <c r="H1494" i="3" s="1"/>
  <c r="H593" i="3"/>
  <c r="G267" i="3"/>
  <c r="H267" i="3" s="1"/>
  <c r="H1066" i="3"/>
  <c r="G77" i="3"/>
  <c r="H77" i="3" s="1"/>
  <c r="H278" i="3"/>
  <c r="G279" i="3" s="1"/>
  <c r="H279" i="3" s="1"/>
  <c r="G444" i="3"/>
  <c r="H444" i="3" s="1"/>
  <c r="G492" i="3"/>
  <c r="H492" i="3" s="1"/>
  <c r="H569" i="3"/>
  <c r="H386" i="3"/>
  <c r="G95" i="3"/>
  <c r="H95" i="3" s="1"/>
  <c r="H133" i="3"/>
  <c r="H1535" i="3"/>
  <c r="G1344" i="3"/>
  <c r="H1344" i="3" s="1"/>
  <c r="G820" i="3"/>
  <c r="G786" i="3" s="1"/>
  <c r="H786" i="3" s="1"/>
  <c r="G816" i="3"/>
  <c r="H816" i="3" s="1"/>
  <c r="G674" i="3"/>
  <c r="G666" i="3" s="1"/>
  <c r="H666" i="3" s="1"/>
  <c r="G670" i="3"/>
  <c r="H670" i="3" s="1"/>
  <c r="H505" i="3"/>
  <c r="G509" i="3" s="1"/>
  <c r="H509" i="3" s="1"/>
  <c r="G379" i="3"/>
  <c r="H379" i="3" s="1"/>
  <c r="H1430" i="3"/>
  <c r="K42" i="4"/>
  <c r="L42" i="4"/>
  <c r="G42" i="4"/>
  <c r="I42" i="4"/>
  <c r="J42" i="4"/>
  <c r="M42" i="4"/>
  <c r="G1244" i="3"/>
  <c r="H1244" i="3" s="1"/>
  <c r="G34" i="3"/>
  <c r="H34" i="3" s="1"/>
  <c r="H1512" i="3"/>
  <c r="H1478" i="3"/>
  <c r="G1353" i="3"/>
  <c r="H1353" i="3" s="1"/>
  <c r="H1241" i="3"/>
  <c r="H1101" i="3"/>
  <c r="G1002" i="3"/>
  <c r="H1002" i="3" s="1"/>
  <c r="H1055" i="3"/>
  <c r="G822" i="3"/>
  <c r="H822" i="3" s="1"/>
  <c r="G787" i="3"/>
  <c r="H787" i="3" s="1"/>
  <c r="G585" i="3"/>
  <c r="H585" i="3" s="1"/>
  <c r="H579" i="3"/>
  <c r="G455" i="3"/>
  <c r="H455" i="3" s="1"/>
  <c r="G657" i="3"/>
  <c r="H657" i="3" s="1"/>
  <c r="H601" i="3"/>
  <c r="H565" i="3"/>
  <c r="G519" i="3"/>
  <c r="H519" i="3" s="1"/>
  <c r="G464" i="3"/>
  <c r="H464" i="3" s="1"/>
  <c r="G370" i="3"/>
  <c r="H370" i="3" s="1"/>
  <c r="G356" i="3"/>
  <c r="H356" i="3" s="1"/>
  <c r="G271" i="3"/>
  <c r="H271" i="3" s="1"/>
  <c r="G110" i="3"/>
  <c r="H110" i="3" s="1"/>
  <c r="H89" i="3"/>
  <c r="H1060" i="3"/>
  <c r="G90" i="3"/>
  <c r="H90" i="3" s="1"/>
  <c r="G1498" i="3"/>
  <c r="H1498" i="3" s="1"/>
  <c r="H1412" i="3"/>
  <c r="H546" i="3"/>
  <c r="G72" i="3"/>
  <c r="H72" i="3" s="1"/>
  <c r="G468" i="3"/>
  <c r="H468" i="3" s="1"/>
  <c r="G1524" i="3"/>
  <c r="H1524" i="3" s="1"/>
  <c r="G260" i="3"/>
  <c r="H260" i="3" s="1"/>
  <c r="G581" i="3"/>
  <c r="H581" i="3" s="1"/>
  <c r="H105" i="3"/>
  <c r="H619" i="3"/>
  <c r="G594" i="3"/>
  <c r="H594" i="3" s="1"/>
  <c r="G1143" i="3"/>
  <c r="H1143" i="3" s="1"/>
  <c r="G1199" i="3"/>
  <c r="H1199" i="3" s="1"/>
  <c r="G324" i="3"/>
  <c r="H324" i="3" s="1"/>
  <c r="H286" i="3"/>
  <c r="G1084" i="3"/>
  <c r="H1084" i="3" s="1"/>
  <c r="G682" i="3"/>
  <c r="H682" i="3" s="1"/>
  <c r="H685" i="3"/>
  <c r="G511" i="3"/>
  <c r="H511" i="3" s="1"/>
  <c r="H514" i="3"/>
  <c r="H1435" i="3"/>
  <c r="H518" i="3"/>
  <c r="G515" i="3"/>
  <c r="H515" i="3" s="1"/>
  <c r="G1325" i="3"/>
  <c r="H1325" i="3" s="1"/>
  <c r="G605" i="3"/>
  <c r="H605" i="3" s="1"/>
  <c r="H166" i="3"/>
  <c r="P42" i="4"/>
  <c r="G30" i="3"/>
  <c r="H30" i="3" s="1"/>
  <c r="G23" i="3"/>
  <c r="H23" i="3" s="1"/>
  <c r="H29" i="3"/>
  <c r="G38" i="3" s="1"/>
  <c r="H870" i="3"/>
  <c r="G840" i="3"/>
  <c r="H840" i="3" s="1"/>
  <c r="G219" i="3"/>
  <c r="H219" i="3" s="1"/>
  <c r="H227" i="3"/>
  <c r="H442" i="3"/>
  <c r="G436" i="3"/>
  <c r="H436" i="3" s="1"/>
  <c r="H247" i="3"/>
  <c r="G237" i="3"/>
  <c r="H237" i="3" s="1"/>
  <c r="G1067" i="3"/>
  <c r="H1067" i="3" s="1"/>
  <c r="H1076" i="3"/>
  <c r="H1134" i="3"/>
  <c r="G1127" i="3"/>
  <c r="H1127" i="3" s="1"/>
  <c r="G1180" i="3"/>
  <c r="H1180" i="3" s="1"/>
  <c r="H1195" i="3"/>
  <c r="G611" i="3"/>
  <c r="H611" i="3" s="1"/>
  <c r="H615" i="3"/>
  <c r="H355" i="3"/>
  <c r="G347" i="3"/>
  <c r="H347" i="3" s="1"/>
  <c r="G770" i="3"/>
  <c r="H770" i="3" s="1"/>
  <c r="H784" i="3"/>
  <c r="G248" i="3"/>
  <c r="H248" i="3" s="1"/>
  <c r="H255" i="3"/>
  <c r="G414" i="3"/>
  <c r="H414" i="3" s="1"/>
  <c r="H425" i="3"/>
  <c r="H405" i="3"/>
  <c r="G398" i="3"/>
  <c r="H398" i="3" s="1"/>
  <c r="G1392" i="3"/>
  <c r="H1392" i="3" s="1"/>
  <c r="H1395" i="3"/>
  <c r="H906" i="3"/>
  <c r="G901" i="3"/>
  <c r="H901" i="3" s="1"/>
  <c r="G1255" i="3"/>
  <c r="H1255" i="3" s="1"/>
  <c r="H1264" i="3"/>
  <c r="H1142" i="3"/>
  <c r="G1135" i="3"/>
  <c r="H1135" i="3" s="1"/>
  <c r="G912" i="3"/>
  <c r="H912" i="3" s="1"/>
  <c r="H930" i="3"/>
  <c r="H653" i="3"/>
  <c r="G647" i="3"/>
  <c r="H647" i="3" s="1"/>
  <c r="H1290" i="3"/>
  <c r="G1284" i="3"/>
  <c r="H1284" i="3" s="1"/>
  <c r="H488" i="3"/>
  <c r="G485" i="3"/>
  <c r="H485" i="3" s="1"/>
  <c r="G523" i="3"/>
  <c r="H523" i="3" s="1"/>
  <c r="H535" i="3"/>
  <c r="H839" i="3"/>
  <c r="G834" i="3"/>
  <c r="H834" i="3" s="1"/>
  <c r="H141" i="3"/>
  <c r="G136" i="3"/>
  <c r="H136" i="3" s="1"/>
  <c r="H129" i="3"/>
  <c r="G126" i="3"/>
  <c r="H126" i="3" s="1"/>
  <c r="H323" i="3"/>
  <c r="G311" i="3"/>
  <c r="H311" i="3" s="1"/>
  <c r="H1228" i="3"/>
  <c r="G1208" i="3"/>
  <c r="H1208" i="3" s="1"/>
  <c r="H1459" i="3"/>
  <c r="G1436" i="3"/>
  <c r="H1436" i="3" s="1"/>
  <c r="G1102" i="3"/>
  <c r="H1102" i="3" s="1"/>
  <c r="H1109" i="3"/>
  <c r="G643" i="3"/>
  <c r="H643" i="3" s="1"/>
  <c r="H646" i="3"/>
  <c r="G707" i="3"/>
  <c r="H707" i="3" s="1"/>
  <c r="H769" i="3"/>
  <c r="H553" i="3"/>
  <c r="G547" i="3"/>
  <c r="H547" i="3" s="1"/>
  <c r="G460" i="3"/>
  <c r="H460" i="3" s="1"/>
  <c r="H463" i="3"/>
  <c r="G478" i="3" s="1"/>
  <c r="G451" i="3"/>
  <c r="H451" i="3" s="1"/>
  <c r="H454" i="3"/>
  <c r="G290" i="3"/>
  <c r="H290" i="3" s="1"/>
  <c r="H297" i="3"/>
  <c r="H340" i="3"/>
  <c r="G332" i="3"/>
  <c r="H332" i="3" s="1"/>
  <c r="H1250" i="3"/>
  <c r="G1243" i="3"/>
  <c r="H1243" i="3" s="1"/>
  <c r="H1470" i="3"/>
  <c r="G1460" i="3"/>
  <c r="H1460" i="3" s="1"/>
  <c r="H1027" i="3"/>
  <c r="G1031" i="3" s="1"/>
  <c r="G1017" i="3"/>
  <c r="H1017" i="3" s="1"/>
  <c r="G907" i="3"/>
  <c r="H907" i="3" s="1"/>
  <c r="H911" i="3"/>
  <c r="G1298" i="3"/>
  <c r="H1298" i="3" s="1"/>
  <c r="H1310" i="3"/>
  <c r="G1160" i="3"/>
  <c r="H1160" i="3" s="1"/>
  <c r="H1168" i="3"/>
  <c r="H346" i="3"/>
  <c r="G341" i="3"/>
  <c r="H341" i="3" s="1"/>
  <c r="H199" i="3"/>
  <c r="G190" i="3"/>
  <c r="H190" i="3" s="1"/>
  <c r="H1001" i="3"/>
  <c r="G973" i="3"/>
  <c r="H973" i="3" s="1"/>
  <c r="H1518" i="3"/>
  <c r="G1513" i="3"/>
  <c r="H1513" i="3" s="1"/>
  <c r="H1273" i="3"/>
  <c r="G1265" i="3"/>
  <c r="H1265" i="3" s="1"/>
  <c r="H1126" i="3"/>
  <c r="G1119" i="3"/>
  <c r="H1119" i="3" s="1"/>
  <c r="H369" i="3"/>
  <c r="G363" i="3"/>
  <c r="H363" i="3" s="1"/>
  <c r="H1283" i="3"/>
  <c r="G1275" i="3"/>
  <c r="H1275" i="3" s="1"/>
  <c r="G200" i="3"/>
  <c r="H200" i="3" s="1"/>
  <c r="H209" i="3"/>
  <c r="H900" i="3"/>
  <c r="G873" i="3"/>
  <c r="H873" i="3" s="1"/>
  <c r="G1415" i="3"/>
  <c r="H1415" i="3" s="1"/>
  <c r="H1426" i="3"/>
  <c r="G1523" i="3"/>
  <c r="H1523" i="3" s="1"/>
  <c r="H1531" i="3"/>
  <c r="H1297" i="3"/>
  <c r="G1291" i="3"/>
  <c r="H1291" i="3" s="1"/>
  <c r="H484" i="3"/>
  <c r="G480" i="3"/>
  <c r="H480" i="3" s="1"/>
  <c r="G303" i="3"/>
  <c r="H303" i="3" s="1"/>
  <c r="H310" i="3"/>
  <c r="G42" i="3"/>
  <c r="H42" i="3" s="1"/>
  <c r="H51" i="3"/>
  <c r="H1483" i="3"/>
  <c r="G1479" i="3"/>
  <c r="H1479" i="3" s="1"/>
  <c r="C43" i="4" s="1"/>
  <c r="G1314" i="3"/>
  <c r="H1314" i="3" s="1"/>
  <c r="H1320" i="3"/>
  <c r="G1150" i="3"/>
  <c r="H1150" i="3" s="1"/>
  <c r="H1159" i="3"/>
  <c r="H947" i="3"/>
  <c r="G932" i="3"/>
  <c r="H932" i="3" s="1"/>
  <c r="H972" i="3"/>
  <c r="G959" i="3"/>
  <c r="H959" i="3" s="1"/>
  <c r="G1375" i="3"/>
  <c r="H1375" i="3" s="1"/>
  <c r="H1390" i="3"/>
  <c r="G1391" i="3" s="1"/>
  <c r="H189" i="3"/>
  <c r="G180" i="3"/>
  <c r="H180" i="3" s="1"/>
  <c r="G167" i="3"/>
  <c r="H167" i="3" s="1"/>
  <c r="H179" i="3"/>
  <c r="H236" i="3"/>
  <c r="G228" i="3"/>
  <c r="H228" i="3" s="1"/>
  <c r="H1490" i="3"/>
  <c r="G1491" i="3" s="1"/>
  <c r="G1485" i="3"/>
  <c r="H1485" i="3" s="1"/>
  <c r="H1408" i="3"/>
  <c r="G1402" i="3"/>
  <c r="H1402" i="3" s="1"/>
  <c r="G1110" i="3"/>
  <c r="H1110" i="3" s="1"/>
  <c r="H1118" i="3"/>
  <c r="G951" i="3"/>
  <c r="H951" i="3" s="1"/>
  <c r="H958" i="3"/>
  <c r="G53" i="3"/>
  <c r="H53" i="3" s="1"/>
  <c r="H71" i="3"/>
  <c r="G84" i="3" s="1"/>
  <c r="H1179" i="3"/>
  <c r="G1169" i="3"/>
  <c r="H1169" i="3" s="1"/>
  <c r="G393" i="3"/>
  <c r="H393" i="3" s="1"/>
  <c r="H397" i="3"/>
  <c r="H218" i="3"/>
  <c r="G210" i="3"/>
  <c r="H210" i="3" s="1"/>
  <c r="H152" i="3"/>
  <c r="G145" i="3"/>
  <c r="H145" i="3" s="1"/>
  <c r="H706" i="3"/>
  <c r="G686" i="3"/>
  <c r="H686" i="3" s="1"/>
  <c r="H125" i="3"/>
  <c r="G122" i="3"/>
  <c r="H122" i="3" s="1"/>
  <c r="G635" i="3"/>
  <c r="H431" i="3"/>
  <c r="G426" i="3"/>
  <c r="H426" i="3" s="1"/>
  <c r="G609" i="3" l="1"/>
  <c r="H609" i="3" s="1"/>
  <c r="G570" i="3"/>
  <c r="G558" i="3" s="1"/>
  <c r="H558" i="3" s="1"/>
  <c r="H820" i="3"/>
  <c r="G1522" i="3"/>
  <c r="H1522" i="3" s="1"/>
  <c r="G1539" i="3" s="1"/>
  <c r="H674" i="3"/>
  <c r="G1242" i="3"/>
  <c r="G1207" i="3" s="1"/>
  <c r="H1207" i="3" s="1"/>
  <c r="G266" i="3"/>
  <c r="H266" i="3" s="1"/>
  <c r="G554" i="3"/>
  <c r="H554" i="3" s="1"/>
  <c r="O45" i="4"/>
  <c r="P45" i="4"/>
  <c r="G109" i="3"/>
  <c r="G85" i="3" s="1"/>
  <c r="H85" i="3" s="1"/>
  <c r="G1413" i="3"/>
  <c r="G1401" i="3" s="1"/>
  <c r="H1401" i="3" s="1"/>
  <c r="C34" i="4" s="1"/>
  <c r="G1077" i="3"/>
  <c r="G1032" i="3" s="1"/>
  <c r="H1032" i="3" s="1"/>
  <c r="G871" i="3"/>
  <c r="G821" i="3" s="1"/>
  <c r="H821" i="3" s="1"/>
  <c r="G620" i="3"/>
  <c r="H620" i="3" s="1"/>
  <c r="G301" i="3"/>
  <c r="G280" i="3" s="1"/>
  <c r="H280" i="3" s="1"/>
  <c r="G489" i="3"/>
  <c r="H489" i="3" s="1"/>
  <c r="G931" i="3"/>
  <c r="G872" i="3" s="1"/>
  <c r="H872" i="3" s="1"/>
  <c r="G491" i="3"/>
  <c r="H491" i="3" s="1"/>
  <c r="G785" i="3"/>
  <c r="H785" i="3" s="1"/>
  <c r="G409" i="3"/>
  <c r="G392" i="3" s="1"/>
  <c r="H392" i="3" s="1"/>
  <c r="G256" i="3"/>
  <c r="H256" i="3" s="1"/>
  <c r="G536" i="3"/>
  <c r="H536" i="3" s="1"/>
  <c r="E42" i="4"/>
  <c r="H42" i="4"/>
  <c r="F42" i="4"/>
  <c r="N42" i="4"/>
  <c r="O42" i="4"/>
  <c r="G1015" i="3"/>
  <c r="G950" i="3" s="1"/>
  <c r="H950" i="3" s="1"/>
  <c r="G1324" i="3"/>
  <c r="H1324" i="3" s="1"/>
  <c r="H1391" i="3"/>
  <c r="G1399" i="3" s="1"/>
  <c r="L45" i="4"/>
  <c r="K45" i="4"/>
  <c r="I45" i="4"/>
  <c r="G45" i="4"/>
  <c r="F45" i="4"/>
  <c r="N45" i="4"/>
  <c r="H45" i="4"/>
  <c r="E45" i="4"/>
  <c r="M45" i="4"/>
  <c r="J45" i="4"/>
  <c r="G134" i="3"/>
  <c r="G156" i="3"/>
  <c r="G1274" i="3"/>
  <c r="G432" i="3"/>
  <c r="G654" i="3"/>
  <c r="G589" i="3"/>
  <c r="H589" i="3" s="1"/>
  <c r="G1471" i="3"/>
  <c r="G1149" i="3"/>
  <c r="H38" i="3"/>
  <c r="G22" i="3"/>
  <c r="H22" i="3" s="1"/>
  <c r="H635" i="3"/>
  <c r="G622" i="3"/>
  <c r="H622" i="3" s="1"/>
  <c r="G52" i="3"/>
  <c r="H52" i="3" s="1"/>
  <c r="H84" i="3"/>
  <c r="G378" i="3"/>
  <c r="H478" i="3"/>
  <c r="G459" i="3"/>
  <c r="H459" i="3" s="1"/>
  <c r="H1491" i="3"/>
  <c r="G1484" i="3"/>
  <c r="H1484" i="3" s="1"/>
  <c r="C46" i="4" s="1"/>
  <c r="H1031" i="3"/>
  <c r="G1016" i="3"/>
  <c r="H1016" i="3" s="1"/>
  <c r="H570" i="3" l="1"/>
  <c r="H1242" i="3"/>
  <c r="G1493" i="3"/>
  <c r="H1493" i="3" s="1"/>
  <c r="G541" i="3"/>
  <c r="H541" i="3" s="1"/>
  <c r="H1413" i="3"/>
  <c r="H931" i="3"/>
  <c r="G479" i="3"/>
  <c r="H479" i="3" s="1"/>
  <c r="H409" i="3"/>
  <c r="H301" i="3"/>
  <c r="G610" i="3"/>
  <c r="H610" i="3" s="1"/>
  <c r="N48" i="4"/>
  <c r="O48" i="4"/>
  <c r="G48" i="4"/>
  <c r="P48" i="4"/>
  <c r="H48" i="4"/>
  <c r="L48" i="4"/>
  <c r="K48" i="4"/>
  <c r="E48" i="4"/>
  <c r="F48" i="4"/>
  <c r="I48" i="4"/>
  <c r="J48" i="4"/>
  <c r="M48" i="4"/>
  <c r="J36" i="4"/>
  <c r="I36" i="4"/>
  <c r="L36" i="4"/>
  <c r="K36" i="4"/>
  <c r="M36" i="4"/>
  <c r="H871" i="3"/>
  <c r="H109" i="3"/>
  <c r="G118" i="3" s="1"/>
  <c r="R45" i="4"/>
  <c r="R42" i="4"/>
  <c r="H1077" i="3"/>
  <c r="H1015" i="3"/>
  <c r="G681" i="3"/>
  <c r="H681" i="3" s="1"/>
  <c r="G621" i="3"/>
  <c r="H621" i="3" s="1"/>
  <c r="G157" i="3"/>
  <c r="H157" i="3" s="1"/>
  <c r="G510" i="3"/>
  <c r="H510" i="3" s="1"/>
  <c r="H654" i="3"/>
  <c r="G636" i="3"/>
  <c r="H636" i="3" s="1"/>
  <c r="G121" i="3"/>
  <c r="H121" i="3" s="1"/>
  <c r="H134" i="3"/>
  <c r="H378" i="3"/>
  <c r="G302" i="3"/>
  <c r="H302" i="3" s="1"/>
  <c r="G135" i="3"/>
  <c r="H135" i="3" s="1"/>
  <c r="H156" i="3"/>
  <c r="G1323" i="3"/>
  <c r="H1323" i="3" s="1"/>
  <c r="H1399" i="3"/>
  <c r="H1149" i="3"/>
  <c r="G1206" i="3" s="1"/>
  <c r="G1083" i="3"/>
  <c r="H1083" i="3" s="1"/>
  <c r="H1539" i="3"/>
  <c r="G1492" i="3"/>
  <c r="H1492" i="3" s="1"/>
  <c r="C49" i="4" s="1"/>
  <c r="H36" i="4"/>
  <c r="G36" i="4"/>
  <c r="E36" i="4"/>
  <c r="F36" i="4"/>
  <c r="H1471" i="3"/>
  <c r="G1414" i="3"/>
  <c r="H1414" i="3" s="1"/>
  <c r="C37" i="4" s="1"/>
  <c r="G1254" i="3"/>
  <c r="H1254" i="3" s="1"/>
  <c r="H1274" i="3"/>
  <c r="G1321" i="3" s="1"/>
  <c r="G490" i="3"/>
  <c r="H432" i="3"/>
  <c r="G413" i="3"/>
  <c r="H413" i="3" s="1"/>
  <c r="G387" i="3" l="1"/>
  <c r="H387" i="3" s="1"/>
  <c r="G580" i="3"/>
  <c r="H580" i="3" s="1"/>
  <c r="G948" i="3"/>
  <c r="H948" i="3" s="1"/>
  <c r="G655" i="3"/>
  <c r="G540" i="3" s="1"/>
  <c r="H540" i="3" s="1"/>
  <c r="P51" i="4"/>
  <c r="N51" i="4"/>
  <c r="O51" i="4"/>
  <c r="L39" i="4"/>
  <c r="M39" i="4"/>
  <c r="J39" i="4"/>
  <c r="K39" i="4"/>
  <c r="I39" i="4"/>
  <c r="R48" i="4"/>
  <c r="R36" i="4"/>
  <c r="G1078" i="3"/>
  <c r="G949" i="3" s="1"/>
  <c r="H949" i="3" s="1"/>
  <c r="O39" i="4"/>
  <c r="N39" i="4"/>
  <c r="H39" i="4"/>
  <c r="E39" i="4"/>
  <c r="P39" i="4"/>
  <c r="G39" i="4"/>
  <c r="F39" i="4"/>
  <c r="G21" i="3"/>
  <c r="H21" i="3" s="1"/>
  <c r="C19" i="4" s="1"/>
  <c r="H118" i="3"/>
  <c r="G443" i="3"/>
  <c r="H443" i="3" s="1"/>
  <c r="H490" i="3"/>
  <c r="G537" i="3" s="1"/>
  <c r="G1082" i="3"/>
  <c r="H1082" i="3" s="1"/>
  <c r="H1206" i="3"/>
  <c r="G1251" i="3" s="1"/>
  <c r="H1543" i="3"/>
  <c r="H1544" i="3" s="1"/>
  <c r="G264" i="3"/>
  <c r="H1321" i="3"/>
  <c r="G1322" i="3" s="1"/>
  <c r="G1253" i="3"/>
  <c r="H1253" i="3" s="1"/>
  <c r="G265" i="3" l="1"/>
  <c r="H265" i="3" s="1"/>
  <c r="H655" i="3"/>
  <c r="G656" i="3" s="1"/>
  <c r="H656" i="3" s="1"/>
  <c r="G680" i="3"/>
  <c r="H680" i="3" s="1"/>
  <c r="R39" i="4"/>
  <c r="H1078" i="3"/>
  <c r="G1079" i="3" s="1"/>
  <c r="H1079" i="3" s="1"/>
  <c r="H537" i="3"/>
  <c r="G538" i="3" s="1"/>
  <c r="G391" i="3"/>
  <c r="H391" i="3" s="1"/>
  <c r="H51" i="4"/>
  <c r="G51" i="4"/>
  <c r="F51" i="4"/>
  <c r="M51" i="4"/>
  <c r="E51" i="4"/>
  <c r="L51" i="4"/>
  <c r="K51" i="4"/>
  <c r="J51" i="4"/>
  <c r="I51" i="4"/>
  <c r="H1251" i="3"/>
  <c r="G1081" i="3"/>
  <c r="H1081" i="3" s="1"/>
  <c r="G120" i="3"/>
  <c r="H120" i="3" s="1"/>
  <c r="H264" i="3"/>
  <c r="G388" i="3" s="1"/>
  <c r="K21" i="4"/>
  <c r="P21" i="4"/>
  <c r="H21" i="4"/>
  <c r="N21" i="4"/>
  <c r="M21" i="4"/>
  <c r="O21" i="4"/>
  <c r="L21" i="4"/>
  <c r="G21" i="4"/>
  <c r="J21" i="4"/>
  <c r="F21" i="4"/>
  <c r="I21" i="4"/>
  <c r="E21" i="4"/>
  <c r="H1322" i="3"/>
  <c r="G1252" i="3"/>
  <c r="H1252" i="3" s="1"/>
  <c r="R51" i="4" l="1"/>
  <c r="G539" i="3"/>
  <c r="H539" i="3" s="1"/>
  <c r="R21" i="4"/>
  <c r="G679" i="3"/>
  <c r="H679" i="3" s="1"/>
  <c r="C28" i="4" s="1"/>
  <c r="H388" i="3"/>
  <c r="G119" i="3"/>
  <c r="H119" i="3" s="1"/>
  <c r="C22" i="4" s="1"/>
  <c r="G1400" i="3"/>
  <c r="H538" i="3"/>
  <c r="G678" i="3" s="1"/>
  <c r="G390" i="3"/>
  <c r="H390" i="3" s="1"/>
  <c r="N30" i="4" l="1"/>
  <c r="O30" i="4"/>
  <c r="K30" i="4"/>
  <c r="I30" i="4"/>
  <c r="H30" i="4"/>
  <c r="M30" i="4"/>
  <c r="P30" i="4"/>
  <c r="J30" i="4"/>
  <c r="L30" i="4"/>
  <c r="O24" i="4"/>
  <c r="L24" i="4"/>
  <c r="I24" i="4"/>
  <c r="P24" i="4"/>
  <c r="H24" i="4"/>
  <c r="M24" i="4"/>
  <c r="J24" i="4"/>
  <c r="K24" i="4"/>
  <c r="N24" i="4"/>
  <c r="G30" i="4"/>
  <c r="E30" i="4"/>
  <c r="F30" i="4"/>
  <c r="H1400" i="3"/>
  <c r="G1080" i="3"/>
  <c r="H1080" i="3" s="1"/>
  <c r="C31" i="4" s="1"/>
  <c r="G24" i="4"/>
  <c r="F24" i="4"/>
  <c r="E24" i="4"/>
  <c r="H678" i="3"/>
  <c r="G389" i="3"/>
  <c r="H389" i="3" s="1"/>
  <c r="C25" i="4" s="1"/>
  <c r="N27" i="4" l="1"/>
  <c r="K27" i="4"/>
  <c r="J27" i="4"/>
  <c r="H27" i="4"/>
  <c r="O27" i="4"/>
  <c r="P27" i="4"/>
  <c r="I27" i="4"/>
  <c r="M27" i="4"/>
  <c r="L27" i="4"/>
  <c r="P33" i="4"/>
  <c r="M33" i="4"/>
  <c r="I33" i="4"/>
  <c r="N33" i="4"/>
  <c r="J33" i="4"/>
  <c r="K33" i="4"/>
  <c r="H33" i="4"/>
  <c r="O33" i="4"/>
  <c r="L33" i="4"/>
  <c r="R24" i="4"/>
  <c r="R30" i="4"/>
  <c r="G1540" i="3"/>
  <c r="H1540" i="3" s="1"/>
  <c r="H1541" i="3" s="1"/>
  <c r="H1542" i="3" s="1"/>
  <c r="H1545" i="3" s="1"/>
  <c r="J4" i="3" s="1"/>
  <c r="C55" i="4"/>
  <c r="F33" i="4"/>
  <c r="G33" i="4"/>
  <c r="E33" i="4"/>
  <c r="E27" i="4"/>
  <c r="F27" i="4"/>
  <c r="G27" i="4"/>
  <c r="F54" i="4" l="1"/>
  <c r="G54" i="4"/>
  <c r="E54" i="4"/>
  <c r="E55" i="4" s="1"/>
  <c r="J54" i="4"/>
  <c r="H54" i="4"/>
  <c r="I54" i="4"/>
  <c r="P54" i="4"/>
  <c r="P52" i="4" s="1"/>
  <c r="L54" i="4"/>
  <c r="N54" i="4"/>
  <c r="O54" i="4"/>
  <c r="K54" i="4"/>
  <c r="K52" i="4" s="1"/>
  <c r="M54" i="4"/>
  <c r="M52" i="4" s="1"/>
  <c r="R27" i="4"/>
  <c r="R33" i="4"/>
  <c r="D40" i="4"/>
  <c r="D28" i="4"/>
  <c r="D49" i="4"/>
  <c r="D37" i="4"/>
  <c r="D25" i="4"/>
  <c r="D46" i="4"/>
  <c r="D34" i="4"/>
  <c r="D22" i="4"/>
  <c r="D43" i="4"/>
  <c r="D31" i="4"/>
  <c r="G20" i="3"/>
  <c r="H20" i="3" s="1"/>
  <c r="K4" i="3"/>
  <c r="L4" i="3"/>
  <c r="D19" i="4"/>
  <c r="F52" i="4"/>
  <c r="E52" i="4" l="1"/>
  <c r="E53" i="4" s="1"/>
  <c r="F53" i="4" s="1"/>
  <c r="D55" i="4"/>
  <c r="O52" i="4"/>
  <c r="I52" i="4"/>
  <c r="H52" i="4"/>
  <c r="J52" i="4"/>
  <c r="G52" i="4"/>
  <c r="F55" i="4"/>
  <c r="G55" i="4" s="1"/>
  <c r="H55" i="4" s="1"/>
  <c r="I55" i="4" s="1"/>
  <c r="J55" i="4" s="1"/>
  <c r="K55" i="4" s="1"/>
  <c r="L55" i="4" s="1"/>
  <c r="M55" i="4" s="1"/>
  <c r="N55" i="4" s="1"/>
  <c r="O55" i="4" s="1"/>
  <c r="P55" i="4" s="1"/>
  <c r="L52" i="4"/>
  <c r="N52" i="4"/>
  <c r="R52" i="4" l="1"/>
  <c r="G53" i="4"/>
  <c r="H53" i="4" s="1"/>
  <c r="I53" i="4" s="1"/>
  <c r="J53" i="4" s="1"/>
  <c r="K53" i="4" s="1"/>
  <c r="L53" i="4" s="1"/>
  <c r="M53" i="4" s="1"/>
  <c r="N53" i="4" s="1"/>
  <c r="O53" i="4" s="1"/>
  <c r="P53" i="4" s="1"/>
</calcChain>
</file>

<file path=xl/sharedStrings.xml><?xml version="1.0" encoding="utf-8"?>
<sst xmlns="http://schemas.openxmlformats.org/spreadsheetml/2006/main" count="5678" uniqueCount="1553">
  <si>
    <t>BDI DESONERADO</t>
  </si>
  <si>
    <t xml:space="preserve">MEMÓRIA DE CÁLCULO DO BDI - OBRA </t>
  </si>
  <si>
    <t>BDI ESTABELECIDO PARA ESTE PROJETO</t>
  </si>
  <si>
    <t>BDI APLICADO AO PROJETO - BASEADO MANUAL DE ORIENTAÇÕES PARA ELABORAÇÃO DE PLANILHAS ORÇAMENTÁRIAS DE OBRAS PÚBLICAS – TCU (2014) E RELATÓRIO DO ACORDÃO Nº 2.622/2013.</t>
  </si>
  <si>
    <t>ITEM</t>
  </si>
  <si>
    <t>DISCRIMINAÇÃO</t>
  </si>
  <si>
    <t>%</t>
  </si>
  <si>
    <t>TOTAL ACUMULADO</t>
  </si>
  <si>
    <t>01</t>
  </si>
  <si>
    <t>AC (Taxa de rateio da administração central)</t>
  </si>
  <si>
    <t>02</t>
  </si>
  <si>
    <t>R (Riscos e imprevistos)</t>
  </si>
  <si>
    <t>03</t>
  </si>
  <si>
    <t>S (Taxa representativa de seguros)</t>
  </si>
  <si>
    <t>04</t>
  </si>
  <si>
    <t>G (Taxa que representa o ônus das garantias exigidas em edital)</t>
  </si>
  <si>
    <t>SUBTOTAL:</t>
  </si>
  <si>
    <t>05</t>
  </si>
  <si>
    <t xml:space="preserve">Despesas Financeiras </t>
  </si>
  <si>
    <t>Taxa representativa de incidências de impostos (I)</t>
  </si>
  <si>
    <t>06</t>
  </si>
  <si>
    <t>COFINS - Contribuição para o Financiamento da Seguridade Social</t>
  </si>
  <si>
    <t>07</t>
  </si>
  <si>
    <t>PIS - Programa de Integração Social</t>
  </si>
  <si>
    <t>08</t>
  </si>
  <si>
    <t>ISS - Imposto Sobre Serviço de Qualquer Natureza</t>
  </si>
  <si>
    <t>09</t>
  </si>
  <si>
    <t>Contribuição previdenciária Sobre Receita Bruta</t>
  </si>
  <si>
    <t>10</t>
  </si>
  <si>
    <t>Lucro</t>
  </si>
  <si>
    <t>SUBTOTAL - (L)</t>
  </si>
  <si>
    <t>Despesas Financeiras</t>
  </si>
  <si>
    <t>8º GRUPAMENTO BOMBEIRO MILITAR - CEILÂNDIA</t>
  </si>
  <si>
    <t>Código</t>
  </si>
  <si>
    <t>Fonte</t>
  </si>
  <si>
    <t>Tipo</t>
  </si>
  <si>
    <t>Ud</t>
  </si>
  <si>
    <t>Resumo</t>
  </si>
  <si>
    <t>Capítulo</t>
  </si>
  <si>
    <t>01.00.000</t>
  </si>
  <si>
    <t>SERVIÇOS PRELIMINARES</t>
  </si>
  <si>
    <t>01.01.000</t>
  </si>
  <si>
    <t>CANTEIRO DE OBRAS</t>
  </si>
  <si>
    <t>01.01.100</t>
  </si>
  <si>
    <t>CONSTRUÇÕES PROVISÓRIAS</t>
  </si>
  <si>
    <t>SINAPI</t>
  </si>
  <si>
    <t>Composição</t>
  </si>
  <si>
    <t>UN</t>
  </si>
  <si>
    <t>EXECUÇÃO DE RESERVATÓRIO ELEVADO DE ÁGUA (1000 LITROS) EM CANTEIRO DE OBRA, APOIADO EM ESTRUTURA DE MADEIRA. AF_02/2016</t>
  </si>
  <si>
    <t>M2</t>
  </si>
  <si>
    <t>EXECUÇÃO DE SANITÁRIO E VESTIÁRIO EM CANTEIRO DE OBRA EM CHAPA DE MADEIRA COMPENSADA, NÃO INCLUSO MOBILIÁRIO. AF_02/2016</t>
  </si>
  <si>
    <t>EXECUÇÃO DE REFEITÓRIO EM CANTEIRO DE OBRA EM CHAPA DE MADEIRA COMPENSADA, NÃO INCLUSO MOBILIÁRIO E EQUIPAMENTOS. AF_02/2016</t>
  </si>
  <si>
    <t>EXECUÇÃO DE ALMOXARIFADO EM CANTEIRO DE OBRA EM CHAPA DE MADEIRA COMPENSADA, INCLUSO PRATELEIRAS. AF_02/2016</t>
  </si>
  <si>
    <t>EXECUÇÃO DE ESCRITÓRIO EM CANTEIRO DE OBRA EM CHAPA DE MADEIRA COMPENSADA, NÃO INCLUSO MOBILIÁRIO E EQUIPAMENTOS. AF_02/2016</t>
  </si>
  <si>
    <t>01.01.200</t>
  </si>
  <si>
    <t>LIGAÇÕES PROVISÓRIAS</t>
  </si>
  <si>
    <t>CC.0284</t>
  </si>
  <si>
    <t>COMAP</t>
  </si>
  <si>
    <t>ENTRADA PROVISORIA DE ENERGIA ELETRICA AEREA TRIFASICA 40A EM POSTE MADEIRA</t>
  </si>
  <si>
    <t>CC.0002</t>
  </si>
  <si>
    <t>LIGAÇÃO PROVISÓRIA DE ÁGUA PARA OBRA E INSTALAÇÃO SANITÁRIA PROVISÕRIA, PEQUENAS OBRAS - INSTALAÇÃO MÍNIMA</t>
  </si>
  <si>
    <t>01.01.300</t>
  </si>
  <si>
    <t>PROTEÇÃO E SINALIZAÇÃO</t>
  </si>
  <si>
    <t>CC.0283</t>
  </si>
  <si>
    <t>PLACA DE OBRA EM CHAPA DE ACO GALVANIZADO</t>
  </si>
  <si>
    <t>TAPUME COM TELHA METÁLICA. AF_05/2018</t>
  </si>
  <si>
    <t>01.02.000</t>
  </si>
  <si>
    <t>LOCAÇÃO DA OBRA</t>
  </si>
  <si>
    <t>M</t>
  </si>
  <si>
    <t>LOCACAO CONVENCIONAL DE OBRA, UTILIZANDO GABARITO DE TÁBUAS CORRIDAS PONTALETADAS A CADA 2,00M - 2 UTILIZAÇÕES. AF_10/2018</t>
  </si>
  <si>
    <t>01.03.000</t>
  </si>
  <si>
    <t>MOVIMENTAÇÃO DE TERRA</t>
  </si>
  <si>
    <t>LIMPEZA MECANIZADA DE CAMADA VEGETAL, VEGETAÇÃO E PEQUENAS ÁRVORES (DIÂMETRO DE TRONCO MENOR QUE 0,20 M), COM TRATOR DE ESTEIRAS.AF_05/2018</t>
  </si>
  <si>
    <t>REMOÇÃO DE RAÍZES REMANESCENTES DE TRONCO DE ÁRVORE COM DIÂMETRO MAIOR OU IGUAL A 0,60 M.AF_05/2018</t>
  </si>
  <si>
    <t>CORTE RASO E RECORTE DE ÁRVORE COM DIÂMETRO DE TRONCO MAIOR OU IGUAL A 0,60 M.AF_05/2018</t>
  </si>
  <si>
    <t>74154/1</t>
  </si>
  <si>
    <t>M3</t>
  </si>
  <si>
    <t>ESCAVACAO, CARGA E TRANSPORTE DE MATERIAL DE 1A CATEGORIA COM TRATOR SOBRE ESTEIRAS 347 HP E CACAMBA 6M3, DMT 50 A 200M</t>
  </si>
  <si>
    <t>EXECUÇÃO E COMPACTAÇÃO DE ATERRO COM SOLO PREDOMINANTEMENTE ARGILOSO - EXCLUSIVE ESCAVAÇÃO, CARGA E TRANSPORTE E SOLO. AF_09/2017</t>
  </si>
  <si>
    <t>74151/1</t>
  </si>
  <si>
    <t>TXKM</t>
  </si>
  <si>
    <t>CC.0248</t>
  </si>
  <si>
    <t>SERVICOS TOPOGRAFICOS PARA PAVIMENTACAO, INCLUSIVE NOTA DE SERVICOS, ACOMPANHAMENTO E GREIDE</t>
  </si>
  <si>
    <t>01.04.000</t>
  </si>
  <si>
    <t>DRENAGEM</t>
  </si>
  <si>
    <t>01.04.100</t>
  </si>
  <si>
    <t>REDES DE DRENAGEM</t>
  </si>
  <si>
    <t>TUBO DE CONCRETO (SIMPLES) PARA REDES COLETORAS DE ÁGUAS PLUVIAIS, DIÂMETRO DE 400 MM, JUNTA RÍGIDA, INSTALADO EM LOCAL COM BAIXO NÍVEL DE INTERFERÊNCIAS - FORNECIMENTO E ASSENTAMENTO. AF_12/2015</t>
  </si>
  <si>
    <t>PREPARO DE FUNDO DE VALA COM LARGURA MENOR QUE 1,5 M, EM LOCAL COM NÍVEL BAIXO DE INTERFERÊNCIA. AF_06/2016</t>
  </si>
  <si>
    <t>REATERRO MECANIZADO DE VALA COM RETROESCAVADEIRA (CAPACIDADE DA CAÇAMBA DA RETRO: 0,26 M³ / POTÊNCIA: 88 HP), LARGURA DE 0,8 A 1,5 M, PROFUNDIDADE ATÉ 1,5 M, COM SOLO DE 1ª CATEGORIA EM LOCAIS COM BAIXO NÍVEL DE INTERFERÊNCIA. AF_04/2016</t>
  </si>
  <si>
    <t>TUBO DE CONCRETO (SIMPLES) PARA REDES COLETORAS DE ÁGUAS PLUVIAIS, DIÂMETRO DE 400 MM, JUNTA RÍGIDA, INSTALADO EM LOCAL COM ALTO NÍVEL DE INTERFERÊNCIAS - FORNECIMENTO E ASSENTAMENTO. AF_12/2015</t>
  </si>
  <si>
    <t>ESCAVAÇÃO MECANIZADA DE VALA COM PROF. ATÉ 1,5 M (MÉDIA ENTRE MONTANTE E JUSANTE/UMA COMPOSIÇÃO POR TRECHO), COM RETROESCAVADEIRA (0,26 M3/88 HP), LARG. DE 0,8 M A 1,5 M, EM SOLO DE 1A CATEGORIA, EM LOCAIS COM ALTO NÍVEL DE INTERFERÊNCIA. AF_01/2015</t>
  </si>
  <si>
    <t>ESCORAMENTO DE VALA, TIPO PONTALETEAMENTO, COM PROFUNDIDADE DE 0 A 1,5 M, LARGURA MENOR QUE 1,5 M, EM LOCAL COM NÍVEL ALTO DE INTERFERÊNCIA. AF_06/2016</t>
  </si>
  <si>
    <t>PREPARO DE FUNDO DE VALA COM LARGURA MENOR QUE 1,5 M, EM LOCAL COM NÍVEL ALTO DE INTERFERÊNCIA. AF_06/2016</t>
  </si>
  <si>
    <t>REATERRO MECANIZADO DE VALA COM RETROESCAVADEIRA (CAPACIDADE DA CAÇAMBA DA RETRO: 0,26 M³ / POTÊNCIA: 88 HP), LARGURA DE 0,8 A 1,5 M, PROFUNDIDADE ATÉ 1,5 M, COM SOLO DE 1ª CATEGORIA EM LOCAIS COM ALTO NÍVEL DE INTERFERÊNCIA. AF_04/2016</t>
  </si>
  <si>
    <t>LOCAÇÃO DE REDE DE ÁGUA OU ESGOTO. AF_10/2018</t>
  </si>
  <si>
    <t>JUNTA ARGAMASSADA ENTRE TUBO DN 400 MM E O POÇO DE VISITA/ CAIXA DE CONCRETO OU ALVENARIA EM REDES DE ESGOTO. AF_06/2015</t>
  </si>
  <si>
    <t>74166/2</t>
  </si>
  <si>
    <t>CAIXA DE INSPECAO EM ANEL DE CONCRETO PRE MOLDADO, COM 950MM DE ALTURA TOTAL. ANEIS COM ESP=50MM, DIAM.=600MM. EXCLUSIVE TAMPAO E ESCAVACAO - FORNECIMENTO E INSTALACAO</t>
  </si>
  <si>
    <t>TAMPA CIRCULAR PARA ESGOTO E DRENAGEM, EM CONCRETO PRÉ-MOLDADO, DIÂMETRO INTERNO = 0,6 M. AF_05/2018</t>
  </si>
  <si>
    <t>74010/1</t>
  </si>
  <si>
    <t>CARGA E DESCARGA MECANICA DE SOLO UTILIZANDO CAMINHAO BASCULANTE 6,0M3/16T E PA CARREGADEIRA SOBRE PNEUS 128 HP, CAPACIDADE DA CAÇAMBA 1,7 A 2,8 M3, PESO OPERACIONAL 11632 KG</t>
  </si>
  <si>
    <t>01.04.200</t>
  </si>
  <si>
    <t>DRENAGEM SUPERFICIAL</t>
  </si>
  <si>
    <t>ASSENTAMENTO DE GUIA (MEIO-FIO) EM TRECHO RETO, CONFECCIONADA EM CONCRETO PRÉ-FABRICADO, DIMENSÕES 100X15X13X20 CM (COMPRIMENTO X BASE INFERIOR X BASE SUPERIOR X ALTURA), PARA URBANIZAÇÃO INTERNA DE EMPREENDIMENTOS. AF_06/2016_P</t>
  </si>
  <si>
    <t>ASSENTAMENTO DE GUIA (MEIO-FIO) EM TRECHO CURVO, CONFECCIONADA EM CONCRETO PRÉ-FABRICADO, DIMENSÕES 100X15X13X20 CM (COMPRIMENTO X BASE INFERIOR X BASE SUPERIOR X ALTURA), PARA URBANIZAÇÃO INTERNA DE EMPREENDIMENTOS. AF_06/2016_P</t>
  </si>
  <si>
    <t>CAIACAO EM MEIO FIO</t>
  </si>
  <si>
    <t>01.04.300</t>
  </si>
  <si>
    <t>DEMOLIÇÃO E RECOMPOSIÇÃO DE PAV. ASFÁLTICO</t>
  </si>
  <si>
    <t>EXECUÇÃO DE IMPRIMAÇÃO COM ASFALTO DILUÍDO CM-30. AF_11/2019</t>
  </si>
  <si>
    <t>CC.0247</t>
  </si>
  <si>
    <t>PINTURA DE LIGACAO COM EMULSAO RR-1C</t>
  </si>
  <si>
    <t>EXECUÇÃO DE PAVIMENTO COM APLICAÇÃO DE CONCRETO ASFÁLTICO, CAMADA DE ROLAMENTO - EXCLUSIVE CARGA E TRANSPORTE. AF_11/2019</t>
  </si>
  <si>
    <t>M3XKM</t>
  </si>
  <si>
    <t>01.05.000</t>
  </si>
  <si>
    <t>PAVIMENTAÇÃO ASFÁLTICA</t>
  </si>
  <si>
    <t>01.05.100</t>
  </si>
  <si>
    <t>REGULARIZAÇÃO DO SUBLEITO</t>
  </si>
  <si>
    <t>CC.0003</t>
  </si>
  <si>
    <t>ENSAIOS DE REGULARIZACAO DO SUBLEITO</t>
  </si>
  <si>
    <t>01.05.200</t>
  </si>
  <si>
    <t>SUB-BASE</t>
  </si>
  <si>
    <t>EXECUÇÃO E COMPACTAÇÃO DE BASE E OU SUB-BASE PARA PAVIMENTAÇÃO DE SOLO (PREDOMINANTEMENTE ARGILOSO) BRITA - 50/50 - EXCLUSIVE SOLO, ESCAVAÇÃO, CARGA E TRANSPORTE. AF_11/2019</t>
  </si>
  <si>
    <t>CC.0220</t>
  </si>
  <si>
    <t>ENSAIOS DE BASE ESTABILIZADA GRANULOMETRICAMENTE</t>
  </si>
  <si>
    <t>01.05.300</t>
  </si>
  <si>
    <t>BASE</t>
  </si>
  <si>
    <t>EXECUÇÃO E COMPACTAÇÃO DE BASE E OU SUB BASE COM BRITA GRADUADA SIMPLES - EXCLUSIVE CARGA E TRANSPORTE. AF_09/2017</t>
  </si>
  <si>
    <t>TRANSPORTE COMERCIAL DE BRITA</t>
  </si>
  <si>
    <t>01.05.400</t>
  </si>
  <si>
    <t>REVESTIMENTO</t>
  </si>
  <si>
    <t>CC.0222</t>
  </si>
  <si>
    <t>01.05.500</t>
  </si>
  <si>
    <t>SINALIZAÇÃO</t>
  </si>
  <si>
    <t>SINALIZACAO HORIZONTAL COM TINTA RETRORREFLETIVA A BASE DE RESINA ACRILICA COM MICROESFERAS DE VIDRO</t>
  </si>
  <si>
    <t>01.06.000</t>
  </si>
  <si>
    <t>DEMOLIÇÕES</t>
  </si>
  <si>
    <t>DEMOLIÇÃO DE ALVENARIA PARA QUALQUER TIPO DE BLOCO, DE FORMA MECANIZADA, SEM REAPROVEITAMENTO. AF_12/2017</t>
  </si>
  <si>
    <t>REMOÇÃO DE FORROS DE DRYWALL, PVC E FIBROMINERAL, DE FORMA MANUAL, SEM REAPROVEITAMENTO. AF_12/2017</t>
  </si>
  <si>
    <t>REMOÇÃO DE TELHAS, DE FIBROCIMENTO, METÁLICA E CERÂMICA, DE FORMA MANUAL, SEM REAPROVEITAMENTO. AF_12/2017</t>
  </si>
  <si>
    <t>02.00.000</t>
  </si>
  <si>
    <t>FUNDAÇÕES E ESTRUTURAS</t>
  </si>
  <si>
    <t>02.01.000</t>
  </si>
  <si>
    <t>GBM</t>
  </si>
  <si>
    <t>02.01.100</t>
  </si>
  <si>
    <t>FUNDAÇÕES</t>
  </si>
  <si>
    <t>02.01.101</t>
  </si>
  <si>
    <t>ESCAVAÇÃO E CONCRETAGEM</t>
  </si>
  <si>
    <t>SINAPI_Mod</t>
  </si>
  <si>
    <t>02.01.102</t>
  </si>
  <si>
    <t>ARMAÇÃO</t>
  </si>
  <si>
    <t>KG</t>
  </si>
  <si>
    <t>MONTAGEM DE ARMADURA TRANSVERSAL DE ESTACAS DE SEÇÃO CIRCULAR, DIÂMETRO = 5,0 MM. AF_11/2016</t>
  </si>
  <si>
    <t>MONTAGEM DE ARMADURA LONGITUDINAL/TRANSVERSAL DE ESTACAS DE SEÇÃO CIRCULAR, DIÂMETRO = 12,5 MM. AF_11/2016</t>
  </si>
  <si>
    <t>02.01.103</t>
  </si>
  <si>
    <t>ARRASAMENTO DE ESTACA</t>
  </si>
  <si>
    <t>ARRASAMENTO MECANICO DE ESTACA DE CONCRETO ARMADO, DIAMETROS DE ATÉ 40 CM. AF_11/2016</t>
  </si>
  <si>
    <t>ARRASAMENTO MECANICO DE ESTACA DE CONCRETO ARMADO, DIAMETROS DE 41 CM A 60 CM. AF_11/2016</t>
  </si>
  <si>
    <t>02.01.200</t>
  </si>
  <si>
    <t>BLOCOS DE COROAMENTO</t>
  </si>
  <si>
    <t>02.01.201</t>
  </si>
  <si>
    <t>ESCAVAÇÃO E REATERRO</t>
  </si>
  <si>
    <t>ESCAVAÇÃO MECANIZADA PARA BLOCO DE COROAMENTO OU SAPATA, COM PREVISÃO DE FÔRMA, COM RETROESCAVADEIRA. AF_06/2017</t>
  </si>
  <si>
    <t>LASTRO DE CONCRETO MAGRO, APLICADO EM BLOCOS DE COROAMENTO OU SAPATAS, ESPESSURA DE 5 CM. AF_08/2017</t>
  </si>
  <si>
    <t>CC.0217</t>
  </si>
  <si>
    <t>LASTRO DE BRITA</t>
  </si>
  <si>
    <t>REATERRO MANUAL DE VALAS COM COMPACTAÇÃO MECANIZADA. AF_04/2016</t>
  </si>
  <si>
    <t>02.01.202</t>
  </si>
  <si>
    <t>FORMA</t>
  </si>
  <si>
    <t>02.01.203</t>
  </si>
  <si>
    <t>ARMAÇÃO DE BLOCO, VIGA BALDRAME E SAPATA UTILIZANDO AÇO CA-60 DE 5 MM - MONTAGEM. AF_06/2017</t>
  </si>
  <si>
    <t>ARMAÇÃO DE BLOCO, VIGA BALDRAME OU SAPATA UTILIZANDO AÇO CA-50 DE 6,3 MM - MONTAGEM. AF_06/2017</t>
  </si>
  <si>
    <t>ARMAÇÃO DE BLOCO, VIGA BALDRAME OU SAPATA UTILIZANDO AÇO CA-50 DE 8 MM - MONTAGEM. AF_06/2017</t>
  </si>
  <si>
    <t>ARMAÇÃO DE BLOCO, VIGA BALDRAME OU SAPATA UTILIZANDO AÇO CA-50 DE 10 MM - MONTAGEM. AF_06/2017</t>
  </si>
  <si>
    <t>ARMAÇÃO DE BLOCO, VIGA BALDRAME OU SAPATA UTILIZANDO AÇO CA-50 DE 12,5 MM - MONTAGEM. AF_06/2017</t>
  </si>
  <si>
    <t>ARMAÇÃO DE BLOCO, VIGA BALDRAME OU SAPATA UTILIZANDO AÇO CA-50 DE 16 MM - MONTAGEM. AF_06/2017</t>
  </si>
  <si>
    <t>02.01.204</t>
  </si>
  <si>
    <t>CONCRETAGEM</t>
  </si>
  <si>
    <t>96557_Mod</t>
  </si>
  <si>
    <t>CONCRETAGEM DE BLOCOS DE COROAMENTO E VIGAS BALDRAMES, FCK 25 MPA, COM USO DE BOMBA - LANÇAMENTO, ADENSAMENTO E ACABAMENTO. AF_06/2017</t>
  </si>
  <si>
    <t>02.01.300</t>
  </si>
  <si>
    <t>ESTRUTURA EM CONCRETO ARMADO</t>
  </si>
  <si>
    <t>02.01.301</t>
  </si>
  <si>
    <t>PILARES</t>
  </si>
  <si>
    <t>MONTAGEM E DESMONTAGEM DE FÔRMA DE PILARES RETANGULARES E ESTRUTURAS SIMILARES COM ÁREA MÉDIA DAS SEÇÕES MAIOR QUE 0,25 M², PÉ-DIREITO SIMPLES, EM CHAPA DE MADEIRA COMPENSADA PLASTIFICADA, 18 UTILIZAÇÕES. AF_12/2015</t>
  </si>
  <si>
    <t>CONCRETAGEM DE PILARES, FCK = 25 MPA, COM USO DE BOMBA EM EDIFICAÇÃO COM SEÇÃO MÉDIA DE PILARES MAIOR QUE 0,25 M² - LANÇAMENTO, ADENSAMENTO E ACABAMENTO. AF_12/2015</t>
  </si>
  <si>
    <t>ARMAÇÃO DE PILAR OU VIGA DE UMA ESTRUTURA CONVENCIONAL DE CONCRETO ARMADO EM UM EDIFÍCIO DE MÚLTIPLOS PAVIMENTOS UTILIZANDO AÇO CA-50 DE 8,0 MM - MONTAGEM. AF_12/2015</t>
  </si>
  <si>
    <t>ARMAÇÃO DE PILAR OU VIGA DE UMA ESTRUTURA CONVENCIONAL DE CONCRETO ARMADO EM UM EDIFÍCIO DE MÚLTIPLOS PAVIMENTOS UTILIZANDO AÇO CA-50 DE 10,0 MM - MONTAGEM. AF_12/2015</t>
  </si>
  <si>
    <t>ARMAÇÃO DE PILAR OU VIGA DE UMA ESTRUTURA CONVENCIONAL DE CONCRETO ARMADO EM UM EDIFÍCIO DE MÚLTIPLOS PAVIMENTOS UTILIZANDO AÇO CA-50 DE 12,5 MM - MONTAGEM. AF_12/2015</t>
  </si>
  <si>
    <t>ARMAÇÃO DE PILAR OU VIGA DE UMA ESTRUTURA CONVENCIONAL DE CONCRETO ARMADO EM UM EDIFÍCIO DE MÚLTIPLOS PAVIMENTOS UTILIZANDO AÇO CA-50 DE 16,0 MM - MONTAGEM. AF_12/2015</t>
  </si>
  <si>
    <t>ARMAÇÃO DE PILAR OU VIGA DE UMA ESTRUTURA CONVENCIONAL DE CONCRETO ARMADO EM UM EDIFÍCIO DE MÚLTIPLOS PAVIMENTOS UTILIZANDO AÇO CA-60 DE 5,0 MM - MONTAGEM. AF_12/2015</t>
  </si>
  <si>
    <t>02.01.302</t>
  </si>
  <si>
    <t>VIGAS BALDRAMES</t>
  </si>
  <si>
    <t>ESCAVAÇÃO MECANIZADA PARA VIGA BALDRAME, COM PREVISÃO DE FÔRMA, COM MINI-ESCAVADEIRA. AF_06/2017</t>
  </si>
  <si>
    <t>FABRICAÇÃO, MONTAGEM E DESMONTAGEM DE FÔRMA PARA VIGA BALDRAME, EM MADEIRA SERRADA, E=25 MM, 4 UTILIZAÇÕES. AF_06/2017</t>
  </si>
  <si>
    <t>02.01.303</t>
  </si>
  <si>
    <t>VIGAS 1 PAVIMENTO</t>
  </si>
  <si>
    <t>MONTAGEM E DESMONTAGEM DE FÔRMA DE VIGA, ESCORAMENTO METÁLICO, PÉ-DIREITO SIMPLES, EM CHAPA DE MADEIRA PLASTIFICADA, 18 UTILIZAÇÕES. AF_12/2015</t>
  </si>
  <si>
    <t>92726_Mod</t>
  </si>
  <si>
    <t>CONCRETAGEM DE VIGAS E LAJES, FCK=25 MPA, PARA LAJES MACIÇAS OU NERVURADAS COM USO DE BOMBA EM EDIFICAÇÃO COM ÁREA MÉDIA DE LAJES MAIOR QUE 20 M² - LANÇAMENTO, ADENSAMENTO E ACABAMENTO. AF_12/2015</t>
  </si>
  <si>
    <t>ARMAÇÃO DE PILAR OU VIGA DE UMA ESTRUTURA CONVENCIONAL DE CONCRETO ARMADO EM UM EDIFÍCIO DE MÚLTIPLOS PAVIMENTOS UTILIZANDO AÇO CA-50 DE 6,3 MM - MONTAGEM. AF_12/2015</t>
  </si>
  <si>
    <t>02.01.304</t>
  </si>
  <si>
    <t>VIGAS COBERTURA</t>
  </si>
  <si>
    <t>02.01.305</t>
  </si>
  <si>
    <t>LAJE TÉRREO</t>
  </si>
  <si>
    <t>ARMAÇÃO DE LAJE DE UMA ESTRUTURA CONVENCIONAL DE CONCRETO ARMADO EM UM EDIFÍCIO DE MÚLTIPLOS PAVIMENTOS UTILIZANDO AÇO CA-50 DE 6,3 MM - MONTAGEM. AF_12/2015</t>
  </si>
  <si>
    <t>ARMAÇÃO DE LAJE DE UMA ESTRUTURA CONVENCIONAL DE CONCRETO ARMADO EM UM EDIFÍCIO DE MÚLTIPLOS PAVIMENTOS UTILIZANDO AÇO CA-50 DE 8,0 MM - MONTAGEM. AF_12/2015</t>
  </si>
  <si>
    <t>ARMAÇÃO DE LAJE DE UMA ESTRUTURA CONVENCIONAL DE CONCRETO ARMADO EM UM EDIFÍCIO DE MÚLTIPLOS PAVIMENTOS UTILIZANDO AÇO CA-50 DE 10,0 MM - MONTAGEM. AF_12/2015</t>
  </si>
  <si>
    <t>ARMAÇÃO DE LAJE DE UMA ESTRUTURA CONVENCIONAL DE CONCRETO ARMADO EM UM EDIFÍCIO DE MÚLTIPLOS PAVIMENTOS UTILIZANDO AÇO CA-50 DE 12,5 MM - MONTAGEM. AF_12/2015</t>
  </si>
  <si>
    <t>ARMAÇÃO DE LAJE DE UMA ESTRUTURA CONVENCIONAL DE CONCRETO ARMADO EM UM EDIFÍCIO DE MÚLTIPLOS PAVIMENTOS UTILIZANDO AÇO CA-60 DE 5,0 MM - MONTAGEM. AF_12/2015</t>
  </si>
  <si>
    <t>02.01.306</t>
  </si>
  <si>
    <t>LAJE 1 PAVIMENTO</t>
  </si>
  <si>
    <t>92506_Mod</t>
  </si>
  <si>
    <t>MONTAGEM E DESMONTAGEM DE FÔRMA DE LAJE NERVURADA COM CUBETA COM ÁREA MÉDIA MAIOR QUE 20 M², PÉ-DIREITO SIMPLES, EM CHAPA DE MADEIRA COMPENSADA RESINADA, 18 UTILIZAÇÕES. AF_12/2015</t>
  </si>
  <si>
    <t>02.01.307</t>
  </si>
  <si>
    <t>LAJE COBERTURA</t>
  </si>
  <si>
    <t>02.01.308</t>
  </si>
  <si>
    <t>RESERVATÓRIO SUPERIOR - VIGA, PAREDES E LAJE</t>
  </si>
  <si>
    <t>MONTAGEM E DESMONTAGEM DE FÔRMA DE LAJE MACIÇA COM ÁREA MÉDIA MAIOR QUE 20 M², PÉ-DIREITO SIMPLES, EM CHAPA DE MADEIRA COMPENSADA RESINADA, 2 UTILIZAÇÕES. AF_12/2015</t>
  </si>
  <si>
    <t>ARMAÇÃO DE ESTRUTURAS DE CONCRETO ARMADO, EXCETO VIGAS, PILARES, LAJES E FUNDAÇÕES, UTILIZANDO AÇO CA-50 DE 6,3 MM - MONTAGEM. AF_12/2015</t>
  </si>
  <si>
    <t>ARMAÇÃO DE ESTRUTURAS DE CONCRETO ARMADO, EXCETO VIGAS, PILARES, LAJES E FUNDAÇÕES, UTILIZANDO AÇO CA-50 DE 8,0 MM - MONTAGEM. AF_12/2015</t>
  </si>
  <si>
    <t>ARMAÇÃO DE ESTRUTURAS DE CONCRETO ARMADO, EXCETO VIGAS, PILARES, LAJES E FUNDAÇÕES, UTILIZANDO AÇO CA-50 DE 10,0 MM - MONTAGEM. AF_12/2015</t>
  </si>
  <si>
    <t>ARMAÇÃO DE ESTRUTURAS DE CONCRETO ARMADO, EXCETO VIGAS, PILARES, LAJES E FUNDAÇÕES, UTILIZANDO AÇO CA-50 DE 12,5 MM - MONTAGEM. AF_12/2015</t>
  </si>
  <si>
    <t>ARMAÇÃO DE ESTRUTURAS DE CONCRETO ARMADO, EXCETO VIGAS, PILARES, LAJES E FUNDAÇÕES, UTILIZANDO AÇO CA-60 DE 5,0 MM - MONTAGEM. AF_12/2015</t>
  </si>
  <si>
    <t>02.01.309</t>
  </si>
  <si>
    <t>RESERVATÓRIO INFERIOR (CISTERNA)</t>
  </si>
  <si>
    <t>ESCAVACAO MECANICA, A CEU ABERTO, EM MATERIAL DE 1A CATEGORIA, COM ESCAVADEIRA HIDRAULICA, CAPACIDADE DE 0,78 M3</t>
  </si>
  <si>
    <t>02.01.310</t>
  </si>
  <si>
    <t>ESCADAS</t>
  </si>
  <si>
    <t>MONTAGEM E DESMONTAGEM DE FÔRMA PARA ESCADAS, COM 2 LANCES, EM CHAPA DE MADEIRA COMPENSADA PLASTIFICADA, 8 UTILIZAÇÕES. AF_01/2017</t>
  </si>
  <si>
    <t>ARMAÇÃO DE ESCADA, COM 2 LANCES, DE UMA ESTRUTURA CONVENCIONAL DE CONCRETO ARMADO UTILIZANDO AÇO CA-50 DE 6,3 MM - MONTAGEM. AF_01/2017</t>
  </si>
  <si>
    <t>ARMAÇÃO DE ESCADA, COM 2 LANCES, DE UMA ESTRUTURA CONVENCIONAL DE CONCRETO ARMADO UTILIZANDO AÇO CA-50 DE 8,0 MM - MONTAGEM. AF_01/2017</t>
  </si>
  <si>
    <t>ARMAÇÃO DE ESCADA, COM 2 LANCES, DE UMA ESTRUTURA CONVENCIONAL DE CONCRETO ARMADO UTILIZANDO AÇO CA-50 DE 10,0 MM - MONTAGEM. AF_01/2017</t>
  </si>
  <si>
    <t>ARMAÇÃO DE ESCADA, COM 2 LANCES, DE UMA ESTRUTURA CONVENCIONAL DE CONCRETO ARMADO UTILIZANDO AÇO CA-60 DE 5,0 MM - MONTAGEM. AF_01/2017</t>
  </si>
  <si>
    <t>02.01.400</t>
  </si>
  <si>
    <t>ESTRUTURA METÁLICA</t>
  </si>
  <si>
    <t>AGETOP_150103</t>
  </si>
  <si>
    <t>AGETOP</t>
  </si>
  <si>
    <t>ESTRUTURA METÁLICA CONVENCIONAL EM AÇO DO TIPO USI SAC-300 COM FUNDO ANTICORROSIVO</t>
  </si>
  <si>
    <t>02.01.500</t>
  </si>
  <si>
    <t>ENSAIOS</t>
  </si>
  <si>
    <t>CC.0159</t>
  </si>
  <si>
    <t>ENSAIO DE RESITÊNCIA A COMPRESSÃO SIMPLES - CONCRETO</t>
  </si>
  <si>
    <t>CC.0160</t>
  </si>
  <si>
    <t>ENSAIO DE ABATIMENTO DE TRONCO DE CONE</t>
  </si>
  <si>
    <t>02.02.000</t>
  </si>
  <si>
    <t>GARAGEM</t>
  </si>
  <si>
    <t>02.02.100</t>
  </si>
  <si>
    <t>02.02.101</t>
  </si>
  <si>
    <t>02.02.102</t>
  </si>
  <si>
    <t>02.02.103</t>
  </si>
  <si>
    <t>02.02.200</t>
  </si>
  <si>
    <t>02.02.201</t>
  </si>
  <si>
    <t>02.02.202</t>
  </si>
  <si>
    <t>02.02.203</t>
  </si>
  <si>
    <t>02.02.204</t>
  </si>
  <si>
    <t>02.02.300</t>
  </si>
  <si>
    <t>02.02.301</t>
  </si>
  <si>
    <t>02.02.302</t>
  </si>
  <si>
    <t>02.02.303</t>
  </si>
  <si>
    <t>02.02.304</t>
  </si>
  <si>
    <t>VIGAS 2 PAVIMENTO</t>
  </si>
  <si>
    <t>02.02.305</t>
  </si>
  <si>
    <t>02.02.306</t>
  </si>
  <si>
    <t>02.02.307</t>
  </si>
  <si>
    <t>92538_Mod</t>
  </si>
  <si>
    <t>MONTAGEM E DESMONTAGEM DE FÔRMA DE LAJE NERVURADA COM EPS E ÁREA MÉDIA MAIOR QUE 20 M², PÉ-DIREITO SIMPLES, EM CHAPA DE MADEIRA COMPENSADA PLASTIFICADA, 18 UTILIZAÇÕES. AF_12/2015</t>
  </si>
  <si>
    <t>02.02.308</t>
  </si>
  <si>
    <t>LAJE 2 PAVIMENTO</t>
  </si>
  <si>
    <t>02.02.309</t>
  </si>
  <si>
    <t>02.02.400</t>
  </si>
  <si>
    <t>CC.0307</t>
  </si>
  <si>
    <t>02.02.500</t>
  </si>
  <si>
    <t>03.00.000</t>
  </si>
  <si>
    <t>ARQUITETURA E ELEMENTOS DE URBANISMO</t>
  </si>
  <si>
    <t>03.01.000</t>
  </si>
  <si>
    <t>03.01.100</t>
  </si>
  <si>
    <t>ARQUITETURA</t>
  </si>
  <si>
    <t>03.01.101</t>
  </si>
  <si>
    <t>PAREDES</t>
  </si>
  <si>
    <t>03.01.101.1</t>
  </si>
  <si>
    <t>ALVENARIA DE VEDAÇÃO E COBOGÓ</t>
  </si>
  <si>
    <t>FIXAÇÃO (ENCUNHAMENTO) DE ALVENARIA DE VEDAÇÃO COM TIJOLO MACIÇO. AF_03/2016</t>
  </si>
  <si>
    <t>73937/5_Mod</t>
  </si>
  <si>
    <t>03.01.101.2</t>
  </si>
  <si>
    <t>VERGAS/CONTRAVERGAS</t>
  </si>
  <si>
    <t>VERGA PRÉ-MOLDADA PARA JANELAS COM ATÉ 1,5 M DE VÃO. AF_03/2016</t>
  </si>
  <si>
    <t>VERGA PRÉ-MOLDADA PARA JANELAS COM MAIS DE 1,5 M DE VÃO. AF_03/2016</t>
  </si>
  <si>
    <t>VERGA PRÉ-MOLDADA PARA PORTAS COM ATÉ 1,5 M DE VÃO. AF_03/2016</t>
  </si>
  <si>
    <t>VERGA PRÉ-MOLDADA PARA PORTAS COM MAIS DE 1,5 M DE VÃO. AF_03/2016</t>
  </si>
  <si>
    <t>CONTRAVERGA PRÉ-MOLDADA PARA VÃOS DE ATÉ 1,5 M DE COMPRIMENTO. AF_03/2016</t>
  </si>
  <si>
    <t>CONTRAVERGA PRÉ-MOLDADA PARA VÃOS DE MAIS DE 1,5 M DE COMPRIMENTO. AF_03/2016</t>
  </si>
  <si>
    <t>03.01.101.3</t>
  </si>
  <si>
    <t>PAINÉIS E DIVISÓRIAS</t>
  </si>
  <si>
    <t>DIVISORIA EM GRANITO BRANCO POLIDO, ESP = 3CM, ASSENTADO COM ARGAMASSA TRACO 1:4, ARREMATE EM CIMENTO BRANCO, EXCLUSIVE FERRAGENS</t>
  </si>
  <si>
    <t>03.01.102</t>
  </si>
  <si>
    <t>CONTRAPISOS E REGULARIZAÇÕES</t>
  </si>
  <si>
    <t>CONTRAPISO EM ARGAMASSA TRAÇO 1:4 (CIMENTO E AREIA), PREPARO MECÂNICO COM BETONEIRA 400 L, APLICADO EM ÁREAS SECAS SOBRE LAJE, ADERIDO, ESPESSURA 3CM. AF_06/2014</t>
  </si>
  <si>
    <t>03.01.103</t>
  </si>
  <si>
    <t>ESQUADRIAS</t>
  </si>
  <si>
    <t>03.01.103.1</t>
  </si>
  <si>
    <t>PORTAS</t>
  </si>
  <si>
    <t>PORTA EM ALUMÍNIO DE ABRIR TIPO VENEZIANA COM GUARNIÇÃO, FIXAÇÃO COM PARAFUSOS - FORNECIMENTO E INSTALAÇÃO. AF_08/2015</t>
  </si>
  <si>
    <t>90843_Mod1</t>
  </si>
  <si>
    <t>73838/1_Mod1</t>
  </si>
  <si>
    <t>CC.0005</t>
  </si>
  <si>
    <t>73838/1_Mod</t>
  </si>
  <si>
    <t>PV 80 - PORTA DE VIDRO TEMPERADO, 0,8X1,80M, ESPESSURA 10MM, INCLUSIVE ACESSORIOS</t>
  </si>
  <si>
    <t>CC.0229</t>
  </si>
  <si>
    <t>PORTÃO DE CORRER EM ALUMÍNIO ANODIZADO BRANCO - FORNECIMENTO E INSTALAÇÃO</t>
  </si>
  <si>
    <t>PORTA DE CORRER AUTOMÁTICA EM VIDRO TEMPERADO+LAMINADO E CAIXILHO EM ALUMÍNIO ANODIZADO</t>
  </si>
  <si>
    <t>03.01.103.2</t>
  </si>
  <si>
    <t>JANELAS</t>
  </si>
  <si>
    <t>94585_Mod</t>
  </si>
  <si>
    <t>JANELA DE CORRER EM ALUMINIO ANODIZADO NA COR BRANCA, VIDRO LAMINADO VERDE 6mm, 4 FOLHAS, FIXAÇÃO COM ARGAMASSA, COM VIDROS, PADRONIZADA. AF_07/2016</t>
  </si>
  <si>
    <t>94582_Mod</t>
  </si>
  <si>
    <t>CC.0232</t>
  </si>
  <si>
    <t>JANELA DE ALUMÍNIO MAXIM-AR, FIXAÇÃO COM ARGAMASSA, COM VIDROS, PADRONIZADA. AF_07/2016</t>
  </si>
  <si>
    <t>03.01.104</t>
  </si>
  <si>
    <t>VIDROS</t>
  </si>
  <si>
    <t>ESPELHO CRISTAL, ESPESSURA 4MM, COM PARAFUSOS DE FIXACAO, SEM MOLDURA</t>
  </si>
  <si>
    <t>03.01.105</t>
  </si>
  <si>
    <t>COBERTURA E FECHAMENTO LATERAL</t>
  </si>
  <si>
    <t>TELHAMENTO COM TELHA DE AÇO/ALUMÍNIO E = 0,5 MM, COM ATÉ 2 ÁGUAS, INCLUSO IÇAMENTO. AF_07/2019</t>
  </si>
  <si>
    <t>CALHA EM CHAPA DE AÇO GALVANIZADO NÚMERO 24, DESENVOLVIMENTO DE 33 CM, INCLUSO TRANSPORTE VERTICAL. AF_07/2019</t>
  </si>
  <si>
    <t>RUFO EM CHAPA DE AÇO GALVANIZADO NÚMERO 24, CORTE DE 25 CM, INCLUSO TRANSPORTE VERTICAL. AF_07/2019</t>
  </si>
  <si>
    <t>060250/SIURB</t>
  </si>
  <si>
    <t>SIURB</t>
  </si>
  <si>
    <t>071363/SEDOP</t>
  </si>
  <si>
    <t>SEDOP</t>
  </si>
  <si>
    <t>03.01.106</t>
  </si>
  <si>
    <t>REVESTIMENTOS</t>
  </si>
  <si>
    <t>03.01.106.1</t>
  </si>
  <si>
    <t>REVESTIMENTOS DE PISOS</t>
  </si>
  <si>
    <t>REVESTIMENTO CERÂMICO PARA PISO COM PLACAS TIPO PORCELANATO DE DIMENSÕES 60X60 CM APLICADA EM AMBIENTES DE ÁREA MAIOR QUE 10 M². AF_06/2014</t>
  </si>
  <si>
    <t>PISO EM GRANILITE, MARMORITE OU GRANITINA EM AMBIENTES INTERNOS. AF_09/2020</t>
  </si>
  <si>
    <t>84191_Mod</t>
  </si>
  <si>
    <t>PISO EM GRANILITE ANTIDERRAPANTE ESCADA, INCLUSO JUNTAS DE DILATACAO PLASTICAS</t>
  </si>
  <si>
    <t>EXECUÇÃO DE PASSEIO (CALÇADA) OU PISO DE CONCRETO COM CONCRETO MOLDADO IN LOCO, USINADO, ACABAMENTO CONVENCIONAL, ESPESSURA 8 CM, ARMADO. AF_07/2016</t>
  </si>
  <si>
    <t>CC.0233</t>
  </si>
  <si>
    <t>PISO INDUSTRIAL DE ALTA RESISTENCIA, ESPESSURA 8MM, INCLUSO JUNTAS DE DILATACAO PLASTICAS E POLIMENTO MECANIZADO</t>
  </si>
  <si>
    <t>03.01.106.2</t>
  </si>
  <si>
    <t>REVESTIMENTOS DE PAREDES</t>
  </si>
  <si>
    <t>REVESTIMENTO CERÂMICO PARA PAREDES EXTERNAS EM PASTILHAS DE PORCELANA 5 X 5 CM (PLACAS DE 30 X 30 CM), ALINHADAS A PRUMO, APLICADO EM PANOS COM VÃOS. AF_06/2014</t>
  </si>
  <si>
    <t>87273_Mod</t>
  </si>
  <si>
    <t>03.01.106.3</t>
  </si>
  <si>
    <t>REVESTIMENTOS DE FORROS</t>
  </si>
  <si>
    <t>FORRO EM DRYWALL, PARA AMBIENTES COMERCIAIS, INCLUSIVE ESTRUTURA DE FIXAÇÃO. AF_05/2017_P</t>
  </si>
  <si>
    <t>CC.0012</t>
  </si>
  <si>
    <t>FORRO DE FIBRA MINERAL, PARA AMBIENTES COMERCIAIS, INCLUSIVE ESTRUTURA DE FIXAÇÃO</t>
  </si>
  <si>
    <t>03.01.106.4</t>
  </si>
  <si>
    <t>PINTURAS</t>
  </si>
  <si>
    <t>03.01.106.4.1</t>
  </si>
  <si>
    <t>PAREDES INTERNAS</t>
  </si>
  <si>
    <t>APLICAÇÃO E LIXAMENTO DE MASSA LÁTEX EM PAREDES, DUAS DEMÃOS. AF_06/2014</t>
  </si>
  <si>
    <t>APLICAÇÃO MANUAL DE PINTURA COM TINTA LÁTEX ACRÍLICA EM PAREDES, DUAS DEMÃOS. AF_06/2014</t>
  </si>
  <si>
    <t>03.01.106.4.2</t>
  </si>
  <si>
    <t>TETOS</t>
  </si>
  <si>
    <t>APLICAÇÃO E LIXAMENTO DE MASSA LÁTEX EM TETO, UMA DEMÃO. AF_06/2014</t>
  </si>
  <si>
    <t>APLICAÇÃO MANUAL DE PINTURA COM TINTA LÁTEX PVA EM TETO, DUAS DEMÃOS. AF_06/2014</t>
  </si>
  <si>
    <t>03.01.106.4.3</t>
  </si>
  <si>
    <t>PAREDES EXTERNAS</t>
  </si>
  <si>
    <t>88497_Mod</t>
  </si>
  <si>
    <t>APLICAÇÃO E LIXAMENTO DE MASSA ACRÍLICA EM PAREDES EXTERNAS, DUAS DEMÃOS.</t>
  </si>
  <si>
    <t>03.01.106.4.4</t>
  </si>
  <si>
    <t>PISOS</t>
  </si>
  <si>
    <t>APLICACAO DE TINTA A BASE DE EPOXI SOBRE PISO</t>
  </si>
  <si>
    <t>03.01.106.4.5</t>
  </si>
  <si>
    <t>TUBULAÇÃO DE INCÊNDIO</t>
  </si>
  <si>
    <t>03.01.106.5</t>
  </si>
  <si>
    <t>REVESTIMENTOS ARGAMASSADOS</t>
  </si>
  <si>
    <t>03.01.106.5.1</t>
  </si>
  <si>
    <t>CHAPISCO APLICADO EM ALVENARIAS E ESTRUTURAS DE CONCRETO INTERNAS, COM COLHER DE PEDREIRO. ARGAMASSA TRAÇO 1:3 COM PREPARO EM BETONEIRA 400L. AF_06/2014</t>
  </si>
  <si>
    <t>MASSA ÚNICA, PARA RECEBIMENTO DE PINTURA, EM ARGAMASSA TRAÇO 1:2:8, PREPARO MECÂNICO COM BETONEIRA 400L, APLICADA MANUALMENTE EM FACES INTERNAS DE PAREDES, ESPESSURA DE 20MM, COM EXECUÇÃO DE TALISCAS. AF_06/2014</t>
  </si>
  <si>
    <t>EMBOÇO, PARA RECEBIMENTO DE CERÂMICA, EM ARGAMASSA TRAÇO 1:2:8, PREPARO MECÂNICO COM BETONEIRA 400L, APLICADO MANUALMENTE EM FACES INTERNAS DE PAREDES, PARA AMBIENTE COM ÁREA MAIOR QUE 10M2, ESPESSURA DE 20MM, COM EXECUÇÃO DE TALISCAS. AF_06/2014</t>
  </si>
  <si>
    <t>03.01.106.5.2</t>
  </si>
  <si>
    <t>CHAPISCO APLICADO EM ALVENARIA (COM PRESENÇA DE VÃOS) E ESTRUTURAS DE CONCRETO DE FACHADA, COM COLHER DE PEDREIRO. ARGAMASSA TRAÇO 1:3 COM PREPARO EM BETONEIRA 400L. AF_06/2014</t>
  </si>
  <si>
    <t>EMBOÇO OU MASSA ÚNICA EM ARGAMASSA TRAÇO 1:2:8, PREPARO MECÂNICO COM BETONEIRA 400 L, APLICADA MANUALMENTE EM PANOS DE FACHADA COM PRESENÇA DE VÃOS, ESPESSURA DE 25 MM. AF_06/2014</t>
  </si>
  <si>
    <t>03.01.107</t>
  </si>
  <si>
    <t>ACABAMENTOS E ARREMATES</t>
  </si>
  <si>
    <t>03.01.107.1</t>
  </si>
  <si>
    <t>RODAPÉS</t>
  </si>
  <si>
    <t>CC.0234</t>
  </si>
  <si>
    <t>RODAPE EM GRANILITE, ALTURA 15CM</t>
  </si>
  <si>
    <t>88650_Mod</t>
  </si>
  <si>
    <t>03.01.107.2</t>
  </si>
  <si>
    <t>SOLEIRAS</t>
  </si>
  <si>
    <t>SOLEIRA EM GRANITO, LARGURA 15 CM, ESPESSURA 2,0 CM. AF_06/2018</t>
  </si>
  <si>
    <t>03.01.107.3</t>
  </si>
  <si>
    <t>PEITORIS</t>
  </si>
  <si>
    <t>84088_Mod</t>
  </si>
  <si>
    <t>PEITORIL EM GRANITO, LARGURA DE 20 CM, ESPESSURA 2,0 CM</t>
  </si>
  <si>
    <t>03.01.107.4</t>
  </si>
  <si>
    <t>BANCADAS</t>
  </si>
  <si>
    <t>CC.0014</t>
  </si>
  <si>
    <t>BANCADA EM GRANITO PRETO SÃO GABRIEL, ESPESSURA 2CM, QUINAS ARREDONDADAS NAS FACES APARENTES, ACABAMENTO POLIDO</t>
  </si>
  <si>
    <t>CC.0015</t>
  </si>
  <si>
    <t>RODABANCADA EM TODA A EXTENSÃO DO ENGASTAMENTO DO TAMPO COM A ALVENARIA, EM GRANITO PRETO SÃO GABRIEL, DIMENSÕES DE 10X2 CM, COM QUINAS ARREDONDADAS NAS FACES APARENTES E VEDAÇÃO COM SILICONE</t>
  </si>
  <si>
    <t>03.01.107.5</t>
  </si>
  <si>
    <t>CHAPIM EM CONCRETO</t>
  </si>
  <si>
    <t>CC.0235</t>
  </si>
  <si>
    <t>CHAPIM DE CONCRETO APARENTE COM ACABAMENTO DESEMPENADO, FORMA DE COMPENSADO PLASTIFICADO (MADEIRIT) DE 14 X 10 CM, FUNDIDO NO LOCAL.</t>
  </si>
  <si>
    <t>03.01.108</t>
  </si>
  <si>
    <t>EQUIPAMENTOS E ACESSÓRIOS</t>
  </si>
  <si>
    <t>03.01.108.1</t>
  </si>
  <si>
    <t>CORRIMÃO</t>
  </si>
  <si>
    <t>C4646/SEINFRA</t>
  </si>
  <si>
    <t>SEINFRA</t>
  </si>
  <si>
    <t>CORRIMÃO DUPLA ALTURA EM AÇO INOX DIAM 1 1/2</t>
  </si>
  <si>
    <t>ED-50942/SETOP</t>
  </si>
  <si>
    <t xml:space="preserve">SETOP </t>
  </si>
  <si>
    <t>CORRIMÃO SIMPLES EM TUBO DE AÇO INOX D = 1 1/2" - FIXADO EM PISO</t>
  </si>
  <si>
    <t>03.01.108.2</t>
  </si>
  <si>
    <t>GUARDA-CORPO</t>
  </si>
  <si>
    <t>GUARDA-CORPO DE AÇO GALVANIZADO DE 1,10M DE ALTURA, MONTANTES TUBULARES DE 1.1/2? ESPAÇADOS DE 1,20M, TRAVESSA SUPERIOR DE 2?, GRADIL FORMADO POR BARRAS CHATAS EM FERRO DE 32X4,8MM, FIXADO COM CHUMBADOR MECÂNICO. AF_04/2019_P</t>
  </si>
  <si>
    <t>GUARDA-CORPO PANORÂMICO COM PERFIS DE ALUMÍNIO E VIDRO LAMINADO 8 MM, FIXADO COM CHUMBADOR MECÂNICO. AF_04/2019_P</t>
  </si>
  <si>
    <t>03.01.108.3</t>
  </si>
  <si>
    <t>ESCADAS DE FERRO</t>
  </si>
  <si>
    <t>74194/1</t>
  </si>
  <si>
    <t>ESCADA TIPO MARINHEIRO EM TUBO ACO GALVANIZADO 1 1/2" 5 DEGRAUS</t>
  </si>
  <si>
    <t>CC.0312</t>
  </si>
  <si>
    <t>PINTURA ESMALTE ALTO BRILHO, DUAS DEMAOS, SOBRE SUPERFICIE METALICA</t>
  </si>
  <si>
    <t>03.01.108.4</t>
  </si>
  <si>
    <t>DIVERSOS</t>
  </si>
  <si>
    <t>CC.0067</t>
  </si>
  <si>
    <t>BICICLETÁRIO EM AÇO INOX PADRÃO CBMDF - 10 LUGARES - FORNECIMENTO E INSTALAÇÃO</t>
  </si>
  <si>
    <t>CC.0118</t>
  </si>
  <si>
    <t>BARRA DE APOIO 70CM - AÇO POLIDO - FORNECIMENTO E INSTALAÇÃO</t>
  </si>
  <si>
    <t>CC.0237</t>
  </si>
  <si>
    <t>BARRA DE APOIO 80CM - AÇO POLIDO - FORNECIMENTO E INSTALAÇÃO</t>
  </si>
  <si>
    <t>CC.0119</t>
  </si>
  <si>
    <t>BARRA DE APOIO 40CM - AÇO POLIDO - FORNECIMENTO E INSTALAÇÃO</t>
  </si>
  <si>
    <t>CC.0120</t>
  </si>
  <si>
    <t>MOLA AÉREA PARA PORTA DE MADEIRA - FORNECIMENTO E INSTALAÇÃO</t>
  </si>
  <si>
    <t>CC.0169</t>
  </si>
  <si>
    <t>PAPELEIRA DE PAREDE EM METAL CROMADO SEM TAMPA, INCLUSO FIXAÇÃO. AF_10/2016</t>
  </si>
  <si>
    <t>CC.0124</t>
  </si>
  <si>
    <t>TOALHEIRO INTERFOLHADO - FORNECIMENTO E INSTALAÇÃO</t>
  </si>
  <si>
    <t>CC.0175</t>
  </si>
  <si>
    <t>CONJUNTO DE MASTRO P/ TRÊS BANDEIRAS E PEDESTAL</t>
  </si>
  <si>
    <t>CC.0238</t>
  </si>
  <si>
    <t>TUBO DESCIDA RÁPIDA EM AÇO GALVANIZADO, DIÂMETRO 2"</t>
  </si>
  <si>
    <t>03.02.000</t>
  </si>
  <si>
    <t>03.02.100</t>
  </si>
  <si>
    <t>03.02.101</t>
  </si>
  <si>
    <t>03.02.101.1</t>
  </si>
  <si>
    <t>ALVENARIA DE VEDAÇÃO</t>
  </si>
  <si>
    <t>ALVENARIA DE VEDAÇÃO DE BLOCOS CERÂMICOS FURADOS NA VERTICAL DE 14X19X39CM (ESPESSURA 14CM) DE PAREDES COM ÁREA LÍQUIDA MAIOR OU IGUAL A 6M² SEM VÃOS E ARGAMASSA DE ASSENTAMENTO COM PREPARO EM BETONEIRA. AF_06/2014</t>
  </si>
  <si>
    <t>03.02.101.2</t>
  </si>
  <si>
    <t>03.02.102</t>
  </si>
  <si>
    <t>03.02.103</t>
  </si>
  <si>
    <t>03.02.103.1</t>
  </si>
  <si>
    <t>90790_Mod1</t>
  </si>
  <si>
    <t>CC.0231</t>
  </si>
  <si>
    <t>03.02.103.2</t>
  </si>
  <si>
    <t>03.02.104</t>
  </si>
  <si>
    <t>03.02.105</t>
  </si>
  <si>
    <t>TELHAMENTO COM TELHA METÁLICA TERMOACÚSTICA E = 30 MM, COM ATÉ 2 ÁGUAS, INCLUSO IÇAMENTO. AF_07/2019</t>
  </si>
  <si>
    <t>03.02.106</t>
  </si>
  <si>
    <t>03.02.106.1</t>
  </si>
  <si>
    <t>87260_Mod</t>
  </si>
  <si>
    <t>REVESTIMENTO CERÂMICO PARA PISO COM PLACAS TIPO PORCELANATO DE DIMENSÕES 30X30 CM APLICADA EM AMBIENTES DE ÁREA MAIOR QUE 10 M²</t>
  </si>
  <si>
    <t>03.02.106.2</t>
  </si>
  <si>
    <t>87265_Mod</t>
  </si>
  <si>
    <t>REVESTIMENTO CERÂMICO PARA PAREDES INTERNAS COM PLACAS TIPO ESMALTADA EXTRA DE DIMENSÕES 15X15 CM</t>
  </si>
  <si>
    <t>03.02.106.3</t>
  </si>
  <si>
    <t>03.02.106.4.1</t>
  </si>
  <si>
    <t>03.02.106.4.2</t>
  </si>
  <si>
    <t>03.02.106.4.3</t>
  </si>
  <si>
    <t>03.02.106.4.4</t>
  </si>
  <si>
    <t>03.02.106.4.5</t>
  </si>
  <si>
    <t>PORTA CHAPA DE AÇO DE ENROLAR GAROP</t>
  </si>
  <si>
    <t>PINTURA COM TINTA ALQUÍDICA DE ACABAMENTO (ESMALTE SINTÉTICO ACETINADO) PULVERIZADA SOBRE SUPERFÍCIES METÁLICAS (EXCETO PERFIL) EXECUTADO EM OBRA (02 DEMÃOS). AF_01/2020</t>
  </si>
  <si>
    <t>PINTURA COM TINTA ALQUÍDICA DE FUNDO (TIPO ZARCÃO) PULVERIZADA SOBRE SUPERFÍCIES METÁLICAS (EXCETO PERFIL) EXECUTADO EM OBRA (POR DEMÃO). AF_01/2020</t>
  </si>
  <si>
    <t>03.02.106.4</t>
  </si>
  <si>
    <t>03.02.106.5.1</t>
  </si>
  <si>
    <t>03.02.106.5.2</t>
  </si>
  <si>
    <t>03.02.107</t>
  </si>
  <si>
    <t>03.02.107.1</t>
  </si>
  <si>
    <t>03.02.107.2</t>
  </si>
  <si>
    <t>03.02.107.3</t>
  </si>
  <si>
    <t>03.02.107.4</t>
  </si>
  <si>
    <t>03.02.108</t>
  </si>
  <si>
    <t>03.02.108.1</t>
  </si>
  <si>
    <t>03.02.108.2</t>
  </si>
  <si>
    <t>03.02.108.3</t>
  </si>
  <si>
    <t>03.02.108.4</t>
  </si>
  <si>
    <t>CC.0236</t>
  </si>
  <si>
    <t>BRISE VERTICAL FIXO METÁLICO COM PINTURA ANTICORROSIVA E ACABAMENTO EM ESMALTE SINTÉTICO ACETINADO</t>
  </si>
  <si>
    <t>03.03.000</t>
  </si>
  <si>
    <t>PAISAGISMO</t>
  </si>
  <si>
    <t>98504_Mod</t>
  </si>
  <si>
    <t>PLANTIO DE GRAMA ESMERALDA EM PLACAS</t>
  </si>
  <si>
    <t>CC.0170</t>
  </si>
  <si>
    <t>PAVIMENTAÇÃO ORNAMENTAL COM SEIXO ROLADO ESPALHADO (ESPESSURA 5,0CM)</t>
  </si>
  <si>
    <t>08774/ORSE_Mod</t>
  </si>
  <si>
    <t>ORSE_Mod</t>
  </si>
  <si>
    <t>CASCA DE PINUS, FORNECIMENTO E COLOCAÇÃO</t>
  </si>
  <si>
    <t>180321/SIURB_Mod</t>
  </si>
  <si>
    <t>SIURB_Mod</t>
  </si>
  <si>
    <t>DÚZIA</t>
  </si>
  <si>
    <t>LÍRIO (HEMEROCALLIS FLAVA)</t>
  </si>
  <si>
    <t>CC.0239</t>
  </si>
  <si>
    <t>PLANTIO - AGAVE DRAGÃO</t>
  </si>
  <si>
    <t>PLANTIO DE ÁRVORE ORNAMENTAL COM ALTURA DE MUDA MENOR OU IGUAL A 2,00 M. AF_05/2018</t>
  </si>
  <si>
    <t>07657/ORSE_Mod</t>
  </si>
  <si>
    <t>LIMITADOR DE GRAMA COM BORDA FINA, l=12,5cm</t>
  </si>
  <si>
    <t>03.04.000</t>
  </si>
  <si>
    <t>COMUNICAÇÃO VISUAL</t>
  </si>
  <si>
    <t>03.04.100</t>
  </si>
  <si>
    <t>LETREIRO E BRASÃO</t>
  </si>
  <si>
    <t>CC.0064</t>
  </si>
  <si>
    <t>LETREIRO E BRASÃO EM CHAPA METÁLICA MSG 26 - 46MM COM ACABAMENTO EM AÇO ESCOVADO - FORNECIMENTO E INSTALAÇÃO</t>
  </si>
  <si>
    <t>03.04.200</t>
  </si>
  <si>
    <t>PLACAS DE COMUNICAÇÃO VISUAL</t>
  </si>
  <si>
    <t>CC.0065</t>
  </si>
  <si>
    <t>CC.0066</t>
  </si>
  <si>
    <t>03.05.000</t>
  </si>
  <si>
    <t>CERCAMENTO</t>
  </si>
  <si>
    <t>CC.0111</t>
  </si>
  <si>
    <t>04.00.000</t>
  </si>
  <si>
    <t>INSTALAÇÕES HIDRÁULICAS, SANITÁRIAS E CENTRAL GLP</t>
  </si>
  <si>
    <t>04.01.000</t>
  </si>
  <si>
    <t>04.01.100</t>
  </si>
  <si>
    <t>ÁGUA FRIA E REUSO</t>
  </si>
  <si>
    <t>04.01.101</t>
  </si>
  <si>
    <t>ALIMENTAÇÃO - TERRENO</t>
  </si>
  <si>
    <t>TUBO, PVC, SOLDÁVEL, DN 25MM, INSTALADO EM PRUMADA DE ÁGUA - FORNECIMENTO E INSTALAÇÃO. AF_12/2014</t>
  </si>
  <si>
    <t>JOELHO 90 GRAUS, PVC, SOLDÁVEL, DN 25MM, INSTALADO EM PRUMADA DE ÁGUA - FORNECIMENTO E INSTALAÇÃO. AF_12/2014</t>
  </si>
  <si>
    <t>04.01.102</t>
  </si>
  <si>
    <t>ALIMENTAÇÃO - ÁGUA FRIA E ÁGUA DE REUSO</t>
  </si>
  <si>
    <t>REGISTRO DE GAVETA BRUTO, LATÃO, ROSCÁVEL, 1 1/4?, INSTALADO EM RESERVAÇÃO DE ÁGUA DE EDIFICAÇÃO QUE POSSUA RESERVATÓRIO DE FIBRA/FIBROCIMENTO ? FORNECIMENTO E INSTALAÇÃO. AF_06/2016</t>
  </si>
  <si>
    <t>REGISTRO DE GAVETA BRUTO, LATÃO, ROSCÁVEL, 1?, INSTALADO EM RESERVAÇÃO DE ÁGUA DE EDIFICAÇÃO QUE POSSUA RESERVATÓRIO DE FIBRA/FIBROCIMENTO ? FORNECIMENTO E INSTALAÇÃO. AF_06/2016</t>
  </si>
  <si>
    <t>REGISTRO DE GAVETA BRUTO, LATÃO, ROSCÁVEL, 3/4", FORNECIDO E INSTALADO EM RAMAL DE ÁGUA. AF_12/2014</t>
  </si>
  <si>
    <t>JOELHO 45 GRAUS, PVC, SOLDÁVEL, DN 32MM, INSTALADO EM RAMAL DE DISTRIBUIÇÃO DE ÁGUA - FORNECIMENTO E INSTALAÇÃO. AF_12/2014</t>
  </si>
  <si>
    <t>JOELHO 90 GRAUS, PVC, SOLDÁVEL, DN 32MM, INSTALADO EM RAMAL DE DISTRIBUIÇÃO DE ÁGUA - FORNECIMENTO E INSTALAÇÃO. AF_12/2014</t>
  </si>
  <si>
    <t>JOELHO 90 GRAUS, PVC, SOLDÁVEL, DN 25MM, INSTALADO EM RAMAL DE DISTRIBUIÇÃO DE ÁGUA - FORNECIMENTO E INSTALAÇÃO. AF_12/2014</t>
  </si>
  <si>
    <t>TE, PVC, SOLDÁVEL, DN 32MM, INSTALADO EM RAMAL DE DISTRIBUIÇÃO DE ÁGUA - FORNECIMENTO E INSTALAÇÃO. AF_12/2014</t>
  </si>
  <si>
    <t>TUBO, PVC, SOLDÁVEL, DN 40MM, INSTALADO EM PRUMADA DE ÁGUA - FORNECIMENTO E INSTALAÇÃO. AF_12/2014</t>
  </si>
  <si>
    <t>TUBO, PVC, SOLDÁVEL, DN 32MM, INSTALADO EM PRUMADA DE ÁGUA - FORNECIMENTO E INSTALAÇÃO. AF_12/2014</t>
  </si>
  <si>
    <t>CC.0227</t>
  </si>
  <si>
    <t>CC.0228</t>
  </si>
  <si>
    <t>EXECUÇÃO DE PROTEÇÃO PARA REALIMENTADOR AUTOMÁTICO</t>
  </si>
  <si>
    <t>CC.0249</t>
  </si>
  <si>
    <t>CC.0250</t>
  </si>
  <si>
    <t>04.01.103</t>
  </si>
  <si>
    <t>DISTRIBUIÇÃO</t>
  </si>
  <si>
    <t>TUBO, PVC, SOLDÁVEL, DN 85MM, INSTALADO EM PRUMADA DE ÁGUA - FORNECIMENTO E INSTALAÇÃO. AF_12/2014</t>
  </si>
  <si>
    <t>TUBO, PVC, SOLDÁVEL, DN 60MM, INSTALADO EM PRUMADA DE ÁGUA - FORNECIMENTO E INSTALAÇÃO. AF_12/2014</t>
  </si>
  <si>
    <t>TUBO, PVC, SOLDÁVEL, DN 50MM, INSTALADO EM PRUMADA DE ÁGUA - FORNECIMENTO E INSTALAÇÃO. AF_12/2014</t>
  </si>
  <si>
    <t>JOELHO 90 GRAUS, PVC, SOLDÁVEL, DN 32MM, INSTALADO EM PRUMADA DE ÁGUA - FORNECIMENTO E INSTALAÇÃO. AF_12/2014</t>
  </si>
  <si>
    <t>JOELHO 90 GRAUS, PVC, SOLDÁVEL, DN 25MM, INSTALADO EM RAMAL OU SUB-RAMAL DE ÁGUA - FORNECIMENTO E INSTALAÇÃO. AF_12/2014</t>
  </si>
  <si>
    <t>JOELHO 90 GRAUS, PVC, SOLDÁVEL, DN 20MM, INSTALADO EM RAMAL OU SUB-RAMAL DE ÁGUA - FORNECIMENTO E INSTALAÇÃO. AF_12/2014</t>
  </si>
  <si>
    <t>JOELHO 45 GRAUS, PVC, SOLDÁVEL, DN 25MM, INSTALADO EM RAMAL DE DISTRIBUIÇÃO DE ÁGUA - FORNECIMENTO E INSTALAÇÃO. AF_12/2014</t>
  </si>
  <si>
    <t>JOELHO 45 GRAUS, PVC, SOLDÁVEL, DN 20MM, INSTALADO EM RAMAL DE DISTRIBUIÇÃO DE ÁGUA - FORNECIMENTO E INSTALAÇÃO. AF_12/2014</t>
  </si>
  <si>
    <t>TE DE REDUÇÃO, PVC, SOLDÁVEL, DN 85MM X 60MM, INSTALADO EM PRUMADA DE ÁGUA - FORNECIMENTO E INSTALAÇÃO. AF_12/2014</t>
  </si>
  <si>
    <t>TÊ DE REDUÇÃO, PVC, SOLDÁVEL, DN 50MM X 40MM, INSTALADO EM PRUMADA DE ÁGUA - FORNECIMENTO E INSTALAÇÃO. AF_12/2014</t>
  </si>
  <si>
    <t>TÊ DE REDUÇÃO, PVC, SOLDÁVEL, DN 50MM X 25MM, INSTALADO EM PRUMADA DE ÁGUA - FORNECIMENTO E INSTALAÇÃO. AF_12/2014</t>
  </si>
  <si>
    <t>TÊ DE REDUÇÃO, PVC, SOLDÁVEL, DN 40 MM X 32 MM, INSTALADO EM RESERVAÇÃO DE ÁGUA DE EDIFICAÇÃO QUE POSSUA RESERVATÓRIO DE FIBRA/FIBROCIMENTO FORNECIMENTO E INSTALAÇÃO. AF_06/2016</t>
  </si>
  <si>
    <t>TÊ DE REDUÇÃO, PVC, SOLDÁVEL, DN 32MM X 25MM, INSTALADO EM RAMAL DE DISTRIBUIÇÃO DE ÁGUA - FORNECIMENTO E INSTALAÇÃO. AF_12/2014</t>
  </si>
  <si>
    <t>89605_Mod1</t>
  </si>
  <si>
    <t>BUCHA DE REDUCAO, PVC, SOLDAVEL, LONGA, DN 85 X 60 MM - FORNECIMENTO E INSTALAÇÃO.</t>
  </si>
  <si>
    <t>89605_Mod2</t>
  </si>
  <si>
    <t>BUCHA DE REDUCAO, PVC, SOLDAVEL, LONGA, DN 60 X 50 MM - FORNECIMENTO E INSTALAÇÃO.</t>
  </si>
  <si>
    <t>89579_Mod1</t>
  </si>
  <si>
    <t>BUCHA DE REDUCAO, PVC, SOLDAVEL, LONGA, DN 60 X 25 MM - FORNECIMENTO E INSTALAÇÃO.</t>
  </si>
  <si>
    <t>89579_Mod2</t>
  </si>
  <si>
    <t>BUCHA DE REDUCAO, PVC, SOLDAVEL, LONGA, DN 50MM X 25MM - FORNECIMENTO E INSTALAÇÃO</t>
  </si>
  <si>
    <t>BUCHA DE REDUÇÃO, PVC, SOLDÁVEL, DN 40MM X 32MM, INSTALADO EM RAMAL OU SUB-RAMAL DE ÁGUA - FORNECIMENTO E INSTALAÇÃO. AF_03/2015</t>
  </si>
  <si>
    <t>89562_Mod</t>
  </si>
  <si>
    <t>BUCHA DE REDUCAO, PVC, SOLDAVEL, LONGA, DN 40MM X 25MM - FORNECIMENTO E INSTALAÇÃO</t>
  </si>
  <si>
    <t>89562_Mod1</t>
  </si>
  <si>
    <t>BUCHA DE REDUCAO, PVC, SOLDAVEL, LONGA, DN 40MM X 20MM - FORNECIMENTO E INSTALAÇÃO</t>
  </si>
  <si>
    <t>89532_Mod</t>
  </si>
  <si>
    <t>BUCHA DE REDUCAO, PVC, SOLDAVEL, LONGA, DN 32MM X 20MM - FORNECIMENTO E INSTALAÇÃO</t>
  </si>
  <si>
    <t>JOELHO 90 GRAUS COM BUCHA DE LATÃO, PVC, SOLDÁVEL, DN 25MM, X 1/2? INSTALADO EM RAMAL OU SUB-RAMAL DE ÁGUA - FORNECIMENTO E INSTALAÇÃO. AF_12/2014</t>
  </si>
  <si>
    <t>JOELHO 90 GRAUS COM BUCHA DE LATÃO, PVC, SOLDÁVEL, DN 25MM, X 3/4? INSTALADO EM RAMAL OU SUB-RAMAL DE ÁGUA - FORNECIMENTO E INSTALAÇÃO. AF_12/2014</t>
  </si>
  <si>
    <t>TÊ COM BUCHA DE LATÃO NA BOLSA CENTRAL, PVC, SOLDÁVEL, DN 25MM X 1/2?, INSTALADO EM RAMAL OU SUB-RAMAL DE ÁGUA - FORNECIMENTO E INSTALAÇÃO. AF_12/2014</t>
  </si>
  <si>
    <t>TÊ COM BUCHA DE LATÃO NA BOLSA CENTRAL, PVC, SOLDÁVEL, DN 25MM X 3/4?, INSTALADO EM RAMAL OU SUB-RAMAL DE ÁGUA - FORNECIMENTO E INSTALAÇÃO. AF_03/2015</t>
  </si>
  <si>
    <t>LUVA COM BUCHA DE LATÃO, PVC, SOLDÁVEL, DN 25MM X 3/4?, INSTALADO EM RAMAL OU SUB-RAMAL DE ÁGUA - FORNECIMENTO E INSTALAÇÃO. AF_12/2014</t>
  </si>
  <si>
    <t>LUVA, PVC, SOLDÁVEL, DN 85MM, INSTALADO EM PRUMADA DE ÁGUA - FORNECIMENTO E INSTALAÇÃO. AF_12/2014</t>
  </si>
  <si>
    <t>LUVA, PVC, SOLDÁVEL, DN 60MM, INSTALADO EM PRUMADA DE ÁGUA - FORNECIMENTO E INSTALAÇÃO. AF_12/2014</t>
  </si>
  <si>
    <t>LUVA, PVC, SOLDÁVEL, DN 40MM, INSTALADO EM PRUMADA DE ÁGUA - FORNECIMENTO E INSTALAÇÃO. AF_12/2014</t>
  </si>
  <si>
    <t>REGISTRO DE GAVETA BRUTO, LATÃO, ROSCÁVEL, 3?, INSTALADO EM RESERVAÇÃO DE ÁGUA DE EDIFICAÇÃO QUE POSSUA RESERVATÓRIO DE FIBRA/FIBROCIMENTO ? FORNECIMENTO E INSTALAÇÃO. AF_06/2016</t>
  </si>
  <si>
    <t>REGISTRO DE GAVETA BRUTO, LATÃO, ROSCÁVEL, 2?, INSTALADO EM RESERVAÇÃO DE ÁGUA DE EDIFICAÇÃO QUE POSSUA RESERVATÓRIO DE FIBRA/FIBROCIMENTO ? FORNECIMENTO E INSTALAÇÃO. AF_06/2016</t>
  </si>
  <si>
    <t>REGISTRO DE GAVETA BRUTO, LATÃO, ROSCÁVEL, 1 1/2?, INSTALADO EM RESERVAÇÃO DE ÁGUA DE EDIFICAÇÃO QUE POSSUA RESERVATÓRIO DE FIBRA/FIBROCIMENTO ? FORNECIMENTO E INSTALAÇÃO. AF_06/2016</t>
  </si>
  <si>
    <t>REGISTRO DE GAVETA BRUTO, LATÃO, ROSCÁVEL, 1?, COM ACABAMENTO E CANOPLA CROMADOS, INSTALADO EM RESERVAÇÃO DE ÁGUA DE EDIFICAÇÃO QUE POSSUA RESERVATÓRIO DE FIBRA/FIBROCIMENTO ? FORNECIMENTO E INSTALAÇÃO. AF_06/2016</t>
  </si>
  <si>
    <t>REGISTRO DE GAVETA BRUTO, LATÃO, ROSCÁVEL, 3/4", COM ACABAMENTO E CANOPLA CROMADOS. FORNECIDO E INSTALADO EM RAMAL DE ÁGUA. AF_12/2014</t>
  </si>
  <si>
    <t>REGISTRO DE PRESSÃO BRUTO, LATÃO, ROSCÁVEL, 3/4", COM ACABAMENTO E CANOPLA CROMADOS. FORNECIDO E INSTALADO EM RAMAL DE ÁGUA. AF_12/2014</t>
  </si>
  <si>
    <t>04.01.104</t>
  </si>
  <si>
    <t>APARELHOS</t>
  </si>
  <si>
    <t>ENGATE FLEXÍVEL EM INOX, 1/2? X 30CM - FORNECIMENTO E INSTALAÇÃO. AF_12/2013</t>
  </si>
  <si>
    <t>CC.0078</t>
  </si>
  <si>
    <t>DUCHA HIGIÊNICA COM REGISTRO, ACABAMENTO CROMADO - FORNECIMENTO E INSTALAÇÃO</t>
  </si>
  <si>
    <t>CC.0313</t>
  </si>
  <si>
    <t>MICTORIO SIFONADO DE LOUCA BRANCA COM PERTENCES, COM REGISTRO DE PRESSAO 1/2" COM CANOPLA CROMADA ACABAMENTO SIMPLES E CONJUNTO PARA FIXACAO - FORNECIMENTO E INSTALACAO</t>
  </si>
  <si>
    <t>CUBA DE EMBUTIR OVAL EM LOUÇA BRANCA, 35 X 50CM OU EQUIVALENTE, INCLUSO VÁLVULA E SIFÃO TIPO GARRAFA EM METAL CROMADO - FORNECIMENTO E INSTALAÇÃO. AF_12/2013</t>
  </si>
  <si>
    <t>CUBA DE EMBUTIR DE AÇO INOXIDÁVEL MÉDIA, INCLUSO VÁLVULA TIPO AMERICANA EM METAL CROMADO E SIFÃO FLEXÍVEL EM PVC - FORNECIMENTO E INSTALAÇÃO. AF_12/2013</t>
  </si>
  <si>
    <t>86900_Mod1</t>
  </si>
  <si>
    <t>CUBA PARA TANQUE EM AÇO INOX (AISI 304), DIMENSÕES 50 X 40 X 23 CM, COM ESFREGADOR, VÁLVULA E SIFÃO</t>
  </si>
  <si>
    <t>86906_Mod</t>
  </si>
  <si>
    <t>TORNEIRA FECHAMENTO AUTOMÁTICO DE MESA, CROMADA, 1/2" OU 3/4", PARA LAVATÓRIO - FORNECIMENTO E INSTALAÇÃO. AF_12/2013</t>
  </si>
  <si>
    <t>86908_Mod</t>
  </si>
  <si>
    <t>APARELHO MISTURADOR DE PAREDE COM AREJADOR E BICA MÓVEL, ACABAMENTO CROMADO - FORNECIMENTO E INSTALAÇÃO</t>
  </si>
  <si>
    <t>TORNEIRA CROMADA TUBO MÓVEL, DE PAREDE, 1/2" OU 3/4", PARA PIA DE COZINHA, PADRÃO MÉDIO - FORNECIMENTO E INSTALAÇÃO. AF_12/2013</t>
  </si>
  <si>
    <t>86914_Mod</t>
  </si>
  <si>
    <t>TORNEIRA CROMADA 1/2" OU 3/4" PARA LAVAGEM, PADRÃO MÉDIO - FORNECIMENTO E INSTALAÇÃO</t>
  </si>
  <si>
    <t>95470_Mod</t>
  </si>
  <si>
    <t>VASO SANITARIO SIFONADO CONVENCIONAL COM LOUÇA BRANCA, INCLUSO CONJUNTO DE LIGAÇÃO PARA BACIA SANITÁRIA AJUSTÁVEL, COM ASSENTO SANITÁRIO - FORNECIMENTO E INSTALAÇÃO. AF_10/2016</t>
  </si>
  <si>
    <t>95741_Mod</t>
  </si>
  <si>
    <t>VASO SANITARIO SIFONADO CONVENCIONAL PARA PCD SEM FURO FRONTAL COM LOUÇA BRANCA, COM ASSENTO SANITÁRIO PARA PCD - FORNECIMENTO E INSTALAÇÃO. AF_10/2016</t>
  </si>
  <si>
    <t>99635_Mod</t>
  </si>
  <si>
    <t>VÁLVULA DE DESCARGA METÁLICA, BASE 1 1/2 ", ACABAMENTO METALICO CROMADO PARA PCD - FORNECIMENTO E INSTALAÇÃO. AF_01/2019</t>
  </si>
  <si>
    <t>04.01.200</t>
  </si>
  <si>
    <t>ÁGUA QUENTE</t>
  </si>
  <si>
    <t>04.01.201</t>
  </si>
  <si>
    <t>TUBULAÇÕES E CONEXÕES EM COBRE</t>
  </si>
  <si>
    <t>92323_Mod</t>
  </si>
  <si>
    <t>TUBO EM COBRE RÍGIDO, DN 15 MM, CLASSE E, COM ISOLAMENTO - FORNECIMENTO E INSTALAÇÃO</t>
  </si>
  <si>
    <t>92324_Mod</t>
  </si>
  <si>
    <t>TUBO EM COBRE RÍGIDO, DN 22 MM, CLASSE E, COM ISOLAMENTO - FORNECIMENTO E INSTALAÇÃO</t>
  </si>
  <si>
    <t>92310_Mod</t>
  </si>
  <si>
    <t>TUBO EM COBRE RÍGIDO, DN 28 MM, CLASSE E, COM ISOLAMENTO - FORNECIMENTO E INSTALAÇÃO.</t>
  </si>
  <si>
    <t>92283_Mod</t>
  </si>
  <si>
    <t>TUBO EM COBRE RÍGIDO, DN 35 MM, CLASSE E, COM ISOLAMENTO - FORNECIMENTO E INSTALAÇÃO</t>
  </si>
  <si>
    <t>92299_Mod</t>
  </si>
  <si>
    <t>TÊ CURVA DUPLA PARA MISTURADOR - COBRE - 3/4" x 22MM x 3/4" - FORNECIMENTO E INSTALAÇÃO</t>
  </si>
  <si>
    <t>TE EM COBRE, DN 35 MM, SEM ANEL DE SOLDA, INSTALADO EM PRUMADA ? FORNECIMENTO E INSTALAÇÃO. AF_12/2015</t>
  </si>
  <si>
    <t>TE EM COBRE, DN 28 MM, SEM ANEL DE SOLDA, INSTALADO EM RAMAL DE DISTRIBUIÇÃO ? FORNECIMENTO E INSTALAÇÃO. AF_12/2015</t>
  </si>
  <si>
    <t>TE EM COBRE, DN 22 MM, SEM ANEL DE SOLDA, INSTALADO EM RAMAL E SUB-RAMAL ? FORNECIMENTO E INSTALAÇÃO. AF_12/2015</t>
  </si>
  <si>
    <t>92333_Mod</t>
  </si>
  <si>
    <t>TÊ DE REDUÇÃO CENTRAL – 28x22x28MM – EM COBRE - FORNECIMENTO E INSTALAÇÃO</t>
  </si>
  <si>
    <t>BUCHA DE REDUÇÃO EM COBRE, DN 28 MM X 22 MM, SEM ANEL DE SOLDA, PONTA X BOLSA, INSTALADO EM PRUMADA ? FORNECIMENTO E INSTALAÇÃO. AF_01/2016</t>
  </si>
  <si>
    <t>COTOVELO EM COBRE, DN 35 MM, 90 GRAUS, SEM ANEL DE SOLDA, INSTALADO EM PRUMADA ? FORNECIMENTO E INSTALAÇÃO. AF_12/2015</t>
  </si>
  <si>
    <t>COTOVELO EM COBRE, DN 28 MM, 90 GRAUS, SEM ANEL DE SOLDA, INSTALADO EM RAMAL DE DISTRIBUIÇÃO ? FORNECIMENTO E INSTALAÇÃO. AF_12/2015</t>
  </si>
  <si>
    <t>COTOVELO EM COBRE, DN 22 MM, 90 GRAUS, SEM ANEL DE SOLDA, INSTALADO EM RAMAL E SUB-RAMAL ? FORNECIMENTO E INSTALAÇÃO. AF_12/2015</t>
  </si>
  <si>
    <t>COTOVELO EM COBRE, DN 15 MM, 90 GRAUS, SEM ANEL DE SOLDA, INSTALADO EM RAMAL DE DISTRIBUIÇÃO ? FORNECIMENTO E INSTALAÇÃO. AF_12/2015</t>
  </si>
  <si>
    <t>CURVA EM COBRE, DN 28 MM, 45 GRAUS, SEM ANEL DE SOLDA, BOLSA X BOLSA, INSTALADO EM PRUMADA ? FORNECIMENTO E INSTALAÇÃO. AF_01/2016</t>
  </si>
  <si>
    <t>CURVA EM COBRE, DN 22 MM, 45 GRAUS, SEM ANEL DE SOLDA, BOLSA X BOLSA, INSTALADO EM PRUMADA ? FORNECIMENTO E INSTALAÇÃO. AF_01/2016</t>
  </si>
  <si>
    <t>93121_Mod</t>
  </si>
  <si>
    <t>COTOVELO 90º, COBRE, SOLDA X ROSCA, SEM ANEL DE SOLDA, MEDIDA 22 X 1/2” - FORNECIMENTO E INSTALAÇÃO</t>
  </si>
  <si>
    <t>LUVA EM COBRE, DN 35 MM, SEM ANEL DE SOLDA, INSTALADO EM PRUMADA ? FORNECIMENTO E INSTALAÇÃO. AF_12/2015</t>
  </si>
  <si>
    <t>LUVA EM COBRE, DN 22 MM, SEM ANEL DE SOLDA, INSTALADO EM RAMAL DE DISTRIBUIÇÃO ? FORNECIMENTO E INSTALAÇÃO. AF_12/2015</t>
  </si>
  <si>
    <t>04.01.202</t>
  </si>
  <si>
    <t>9535_Mod</t>
  </si>
  <si>
    <t>04.01.203</t>
  </si>
  <si>
    <t>BOILER</t>
  </si>
  <si>
    <t>CC.0085</t>
  </si>
  <si>
    <t>KIT BOILER 1000L BAIXA PRESSÃO, 3000W, EQUIPADO COM RESISTÊNCIA ELÉTRICA E TERMOSTATO REGULÁVEL, TAMPAS EM POLÍMERO TERMOFORMADO, CILINDRO INTERNO E AÇO INOX (AISI 304), ISOLAMENTO TÉRMICO COM POLIURETANO (PU ECOLOGICAMENTE CORRETO + 5 PLACAS COLETORAS SOLARES DE ALTA EFICIÊNCIA TÉRMICA, 2X1M², ACABAMENTO EM ALUMÍNIO PERFILADO, SERPENTINA EM COBRE, ALETAS EM ALUMÍNIO COM PINTURA SUPER NEGRA DE ABSORÇÃO DE CALOR E VIDRO LISO DE 3MM - FORNECIMENTO E INSTALAÇÃO</t>
  </si>
  <si>
    <t>CC.0300</t>
  </si>
  <si>
    <t>BASE EM ALVENARIA ESTRUTURAL fbk=4,5 MPa E LAJE EM CONCRETO PARA SUPORTE BOILER 1.000L</t>
  </si>
  <si>
    <t>04.01.300</t>
  </si>
  <si>
    <t>DRENAGEM DE ÁGUAS PLUVIAIS</t>
  </si>
  <si>
    <t>04.01.301</t>
  </si>
  <si>
    <t>TUBULAÇÕES E CONEXÕES PVC SÉRIE REFORÇADA</t>
  </si>
  <si>
    <t>TUBO DE PVC PARA REDE COLETORA DE ESGOTO DE PAREDE MACIÇA, DN 250 MM, JUNTA ELÁSTICA, INSTALADO EM LOCAL COM NÍVEL BAIXO DE INTERFERÊNCIAS - FORNECIMENTO E ASSENTAMENTO. AF_06/2015</t>
  </si>
  <si>
    <t>TUBO DE PVC PARA REDE COLETORA DE ESGOTO DE PAREDE MACIÇA, DN 200 MM, JUNTA ELÁSTICA, INSTALADO EM LOCAL COM NÍVEL BAIXO DE INTERFERÊNCIAS - FORNECIMENTO E ASSENTAMENTO. AF_06/2015</t>
  </si>
  <si>
    <t>TUBO PVC, SÉRIE R, ÁGUA PLUVIAL, DN 150 MM, FORNECIDO E INSTALADO EM CONDUTORES VERTICAIS DE ÁGUAS PLUVIAIS. AF_12/2014</t>
  </si>
  <si>
    <t>TUBO PVC, SÉRIE R, ÁGUA PLUVIAL, DN 50 MM, FORNECIDO E INSTALADO EM RAMAL DE ENCAMINHAMENTO. AF_12/2014</t>
  </si>
  <si>
    <t>JOELHO 90 GRAUS, PVC, SERIE R, ÁGUA PLUVIAL, DN 50 MM, JUNTA ELÁSTICA, FORNECIDO E INSTALADO EM RAMAL DE ENCAMINHAMENTO. AF_12/2014</t>
  </si>
  <si>
    <t>JOELHO 45 GRAUS, PVC, SERIE R, ÁGUA PLUVIAL, DN 50 MM, JUNTA ELÁSTICA, FORNECIDO E INSTALADO EM RAMAL DE ENCAMINHAMENTO. AF_12/2014</t>
  </si>
  <si>
    <t>RALO SIFONADO, PVC, DN 100 X 40 MM, JUNTA SOLDÁVEL, FORNECIDO E INSTALADO EM RAMAL DE DESCARGA OU EM RAMAL DE ESGOTO SANITÁRIO. AF_12/2014</t>
  </si>
  <si>
    <t>04.01.302</t>
  </si>
  <si>
    <t>ACESSÓRIOS DRENAGEM PLUVIAL</t>
  </si>
  <si>
    <t>CAIXA DE AREIA 40X40X40CM EM ALVENARIA - EXECUÇÃO</t>
  </si>
  <si>
    <t>04.01.303</t>
  </si>
  <si>
    <t>SISTEMA DE REAPROVEITAMENTO DE ÁGUAS PLUVIAIS</t>
  </si>
  <si>
    <t>83716_Mod</t>
  </si>
  <si>
    <t>CC.0251</t>
  </si>
  <si>
    <t>CC.0252</t>
  </si>
  <si>
    <t>FREIO D’ÁGUA – 200 MM - FORNECIMENTO E INSTALAÇÃO</t>
  </si>
  <si>
    <t>CC.0253</t>
  </si>
  <si>
    <t>SIFÃO LADRÃO 200 MM - FORNECIMENTO E INSTALAÇÃO</t>
  </si>
  <si>
    <t>04.01.304</t>
  </si>
  <si>
    <t>SISTEMA DE DRENAGEM PLUVIAL EPAMS</t>
  </si>
  <si>
    <t>CC.0254</t>
  </si>
  <si>
    <t>CAPTADOR 50 MM</t>
  </si>
  <si>
    <t>CC.0255</t>
  </si>
  <si>
    <t>CAPTADOR 75 MM</t>
  </si>
  <si>
    <t>CC.0256</t>
  </si>
  <si>
    <t>TUBO PONTA E PONTA - TP SMU 50 MM - 3000</t>
  </si>
  <si>
    <t>CC.0257</t>
  </si>
  <si>
    <t>TUBO PONTA E PONTA - TP SMU 75 MM - 3000</t>
  </si>
  <si>
    <t>CC.0258</t>
  </si>
  <si>
    <t>TUBO PONTA E PONTA - TP SMU 100MM - 3000</t>
  </si>
  <si>
    <t>CC.0259</t>
  </si>
  <si>
    <t>TUBO PONTA E PONTA - TP SMU 125MM - 3000</t>
  </si>
  <si>
    <t>CC.0260</t>
  </si>
  <si>
    <t>TUBO PONTA E PONTA - TP SMU 150 MM - 3000</t>
  </si>
  <si>
    <t>CC.0261</t>
  </si>
  <si>
    <t>REDUÇÃO EXCÊNTRICA - RE SMU 75 PARA 50 MM</t>
  </si>
  <si>
    <t>CC.0262</t>
  </si>
  <si>
    <t>REDUÇÃO EXCÊNTRICA - RE SMU 100 PARA 75 MM</t>
  </si>
  <si>
    <t>CC.0263</t>
  </si>
  <si>
    <t>REDUÇÃO EXCÊNTRICA - RE SMU 125 PARA 75 MM</t>
  </si>
  <si>
    <t>CC.0264</t>
  </si>
  <si>
    <t>REDUÇÃO EXCÊNTRICA - RE SMU 125 PARA 100 MM</t>
  </si>
  <si>
    <t>CC.0265</t>
  </si>
  <si>
    <t>REDUÇÃO EXCÊNTRICA - RE SMU 150 PARA 125 MM</t>
  </si>
  <si>
    <t>CC.0266</t>
  </si>
  <si>
    <t>JOELHO 45º - J45 SMU 50MM</t>
  </si>
  <si>
    <t>CC.0267</t>
  </si>
  <si>
    <t>JOELHO 45º - J45 SMU 75MM</t>
  </si>
  <si>
    <t>CC.0268</t>
  </si>
  <si>
    <t>JOELHO 45º - J45 SMU 100MM</t>
  </si>
  <si>
    <t>CC.0269</t>
  </si>
  <si>
    <t>JOELHO 45º - J45 SMU 125MM</t>
  </si>
  <si>
    <t>CC.0270</t>
  </si>
  <si>
    <t>JOELHO 45º - J45 SMU 150MM</t>
  </si>
  <si>
    <t>CC.0271</t>
  </si>
  <si>
    <t>JOELHO 88º - J88 SMU 50MM</t>
  </si>
  <si>
    <t>CC.0272</t>
  </si>
  <si>
    <t>JOELHO 88º - J88 SMU 75MM</t>
  </si>
  <si>
    <t>CC.0273</t>
  </si>
  <si>
    <t>JUNÇÃO 45º - Y SMU 100 - 50 MM</t>
  </si>
  <si>
    <t>CC.0274</t>
  </si>
  <si>
    <t>JUNÇÃO 45º - Y SMU 125 - 100 MM</t>
  </si>
  <si>
    <t>CC.0275</t>
  </si>
  <si>
    <t>TÊ DE VISITA - TV SMU 125 MM</t>
  </si>
  <si>
    <t>CC.0276</t>
  </si>
  <si>
    <t>CONJUNTO DE ANCORAGEM - CA SMU 125 MM</t>
  </si>
  <si>
    <t>CC.0277</t>
  </si>
  <si>
    <t>JUNTA RAPID - JR SMU 50 MM</t>
  </si>
  <si>
    <t>CC.0278</t>
  </si>
  <si>
    <t>JUNTA RAPID - JR SMU 75 MM</t>
  </si>
  <si>
    <t>CC.0279</t>
  </si>
  <si>
    <t>JUNTA RAPID - JR SMU 100 MM</t>
  </si>
  <si>
    <t>CC.0280</t>
  </si>
  <si>
    <t>JUNTA RAPID - JR SMU 125 MM</t>
  </si>
  <si>
    <t>CC.0281</t>
  </si>
  <si>
    <t>JUNTA RAPID - JR SMU 150 MM</t>
  </si>
  <si>
    <t>CC.0282</t>
  </si>
  <si>
    <t>INSTALAÇÃO DO SISTEMA</t>
  </si>
  <si>
    <t>04.01.400</t>
  </si>
  <si>
    <t>ESGOTOS SANITÁRIOS</t>
  </si>
  <si>
    <t>04.01.401</t>
  </si>
  <si>
    <t>TUBULAÇÕES E CONEXÕES PVC</t>
  </si>
  <si>
    <t>TUBO PVC, SERIE NORMAL, ESGOTO PREDIAL, DN 40 MM, FORNECIDO E INSTALADO EM RAMAL DE DESCARGA OU RAMAL DE ESGOTO SANITÁRIO. AF_12/2014</t>
  </si>
  <si>
    <t>TUBO PVC, SERIE NORMAL, ESGOTO PREDIAL, DN 50 MM, FORNECIDO E INSTALADO EM RAMAL DE DESCARGA OU RAMAL DE ESGOTO SANITÁRIO. AF_12/2014</t>
  </si>
  <si>
    <t>TUBO PVC, SERIE NORMAL, ESGOTO PREDIAL, DN 75 MM, FORNECIDO E INSTALADO EM RAMAL DE DESCARGA OU RAMAL DE ESGOTO SANITÁRIO. AF_12/2014</t>
  </si>
  <si>
    <t>TUBO PVC, SERIE NORMAL, ESGOTO PREDIAL, DN 100 MM, FORNECIDO E INSTALADO EM RAMAL DE DESCARGA OU RAMAL DE ESGOTO SANITÁRIO. AF_12/2014</t>
  </si>
  <si>
    <t>CURVA CURTA 90 GRAUS, PVC, SERIE NORMAL, ESGOTO PREDIAL, DN 100 MM, JUNTA ELÁSTICA, FORNECIDO E INSTALADO EM PRUMADA DE ESGOTO SANITÁRIO OU VENTILAÇÃO. AF_12/2014</t>
  </si>
  <si>
    <t>CURVA CURTA 90 GRAUS, PVC, SERIE NORMAL, ESGOTO PREDIAL, DN 40 MM, JUNTA SOLDÁVEL, FORNECIDO E INSTALADO EM RAMAL DE DESCARGA OU RAMAL DE ESGOTO SANITÁRIO. AF_12/2014</t>
  </si>
  <si>
    <t>CC.0317</t>
  </si>
  <si>
    <t>CAP PVC ESGOTO 50MM (TAMPÃO) - FORNECIMENTO E INSTALAÇÃO</t>
  </si>
  <si>
    <t>89546_Mod</t>
  </si>
  <si>
    <t>BUCHA DE REDUÇÃO LONGA, PVC, ESGOTO PREDIAL, DN 50 X 40 MM, SOLDÁVEL - FORNECIMENTO E INSTALAÇÃO</t>
  </si>
  <si>
    <t>JOELHO 45 GRAUS, PVC, SERIE NORMAL, ESGOTO PREDIAL, DN 100 MM, JUNTA ELÁSTICA, FORNECIDO E INSTALADO EM RAMAL DE DESCARGA OU RAMAL DE ESGOTO SANITÁRIO. AF_12/2014</t>
  </si>
  <si>
    <t>JOELHO 45 GRAUS, PVC, SERIE NORMAL, ESGOTO PREDIAL, DN 50 MM, JUNTA ELÁSTICA, FORNECIDO E INSTALADO EM PRUMADA DE ESGOTO SANITÁRIO OU VENTILAÇÃO. AF_12/2014</t>
  </si>
  <si>
    <t>JOELHO 45 GRAUS, PVC, SERIE NORMAL, ESGOTO PREDIAL, DN 40 MM, JUNTA SOLDÁVEL, FORNECIDO E INSTALADO EM RAMAL DE DESCARGA OU RAMAL DE ESGOTO SANITÁRIO. AF_12/2014</t>
  </si>
  <si>
    <t>JOELHO 90 GRAUS, PVC, SERIE NORMAL, ESGOTO PREDIAL, DN 100 MM, JUNTA ELÁSTICA, FORNECIDO E INSTALADO EM RAMAL DE DESCARGA OU RAMAL DE ESGOTO SANITÁRIO. AF_12/2014</t>
  </si>
  <si>
    <t>JOELHO 90 GRAUS, PVC, SERIE NORMAL, ESGOTO PREDIAL, DN 50 MM, JUNTA ELÁSTICA, FORNECIDO E INSTALADO EM RAMAL DE DESCARGA OU RAMAL DE ESGOTO SANITÁRIO. AF_12/2014</t>
  </si>
  <si>
    <t>JOELHO 90 GRAUS, PVC, SERIE NORMAL, ESGOTO PREDIAL, DN 40 MM, JUNTA SOLDÁVEL, FORNECIDO E INSTALADO EM RAMAL DE DESCARGA OU RAMAL DE ESGOTO SANITÁRIO. AF_12/2014</t>
  </si>
  <si>
    <t>89744_Mod</t>
  </si>
  <si>
    <t>JOELHO 90° PVC PARA ESGOTO COM VISITA 100X50MM - FORNECIMENTO E INSTALAÇÃO</t>
  </si>
  <si>
    <t>89724_Mod</t>
  </si>
  <si>
    <t>JOELHO 90 GRAUS, PVC, SERIE NORMAL, ESGOTO PREDIAL, DN 40 MM, JUNTA ELÁSTICA - FORNECIMENTO E INSTALAÇÃO</t>
  </si>
  <si>
    <t>JUNÇÃO SIMPLES, PVC, SERIE NORMAL, ESGOTO PREDIAL, DN 100 X 100 MM, JUNTA ELÁSTICA, FORNECIDO E INSTALADO EM RAMAL DE DESCARGA OU RAMAL DE ESGOTO SANITÁRIO. AF_12/2014</t>
  </si>
  <si>
    <t>89797_Mod</t>
  </si>
  <si>
    <t>JUNÇÃO SIMPLES, PVC, SERIE NORMAL, ESGOTO PREDIAL, DN 100 X 50 MM, JUNTA ELÁSTICA, FORNECIDO E INSTALADO EM RAMAL DE DESCARGA OU RAMAL DE ESGOTO SANITÁRIO</t>
  </si>
  <si>
    <t>89795_Mod</t>
  </si>
  <si>
    <t>JUNCAO SIMPLES, PVC, SERIE NORMAL, ESGOTO PREDIAL, DN 75 X 50 MM, JUNTA ELÁSTICA, FORNECIDO E INSTALADO EM RAMAL DE DESCARGA OU RAMAL DE ESGOTO SANITÁRIO</t>
  </si>
  <si>
    <t>JUNÇÃO SIMPLES, PVC, SERIE NORMAL, ESGOTO PREDIAL, DN 50 X 50 MM, JUNTA ELÁSTICA, FORNECIDO E INSTALADO EM RAMAL DE DESCARGA OU RAMAL DE ESGOTO SANITÁRIO. AF_12/2014</t>
  </si>
  <si>
    <t>89796_Mod</t>
  </si>
  <si>
    <t>TE, PVC, SERIE NORMAL, ESGOTO PREDIAL, DN 100 X 50 MM, JUNTA ELÁSTICA, FORNECIDO E INSTALADO EM RAMAL DE DESCARGA OU RAMAL DE ESGOTO SANITÁRIO. AF_12/2014</t>
  </si>
  <si>
    <t>89549_Mod</t>
  </si>
  <si>
    <t>REDUÇÃO EXCÊNTRICA, PVC, ESGOTO PREDIAL, DN 75 X 50 MM, JUNTA ELÁSTICA - FORNECIMENTO E INSTALAÇÃO</t>
  </si>
  <si>
    <t>TE, PVC, SERIE NORMAL, ESGOTO PREDIAL, DN 40 X 40 MM, JUNTA SOLDÁVEL, FORNECIDO E INSTALADO EM RAMAL DE DESCARGA OU RAMAL DE ESGOTO SANITÁRIO. AF_12/2014</t>
  </si>
  <si>
    <t>FIXAÇÃO DE TUBOS HORIZONTAIS DE PVC, CPVC OU COBRE DIÂMETROS MENORES OU IGUAIS A 40 MM COM ABRAÇADEIRA METÁLICA FLEXÍVEL 18 MM, FIXADA DIRETAMENTE NA LAJE. AF_05/2015</t>
  </si>
  <si>
    <t>FIXAÇÃO DE TUBOS HORIZONTAIS DE PVC, CPVC OU COBRE DIÂMETROS MAIORES QUE 40 MM E MENORES OU IGUAIS A 75 MM COM ABRAÇADEIRA METÁLICA FLEXÍVEL 18 MM, FIXADA DIRETAMENTE NA LAJE. AF_05/2015</t>
  </si>
  <si>
    <t>FIXAÇÃO DE TUBOS HORIZONTAIS DE PVC, CPVC OU COBRE DIÂMETROS MAIORES QUE 75 MM COM ABRAÇADEIRA METÁLICA FLEXÍVEL 18 MM, FIXADA DIRETAMENTE NA LAJE. AF_05/2015</t>
  </si>
  <si>
    <t>04.01.402</t>
  </si>
  <si>
    <t>ACESSÓRIOS PVC</t>
  </si>
  <si>
    <t>89707_Mod</t>
  </si>
  <si>
    <t>CAIXA SIFONADA, PVC, DN 100 X 150 X 50 MM, JUNTA ELÁSTICA, FORNECIDA E INSTALADA EM RAMAL DE DESCARGA OU EM RAMAL DE ESGOTO SANITÁRIO. AF_12/2014</t>
  </si>
  <si>
    <t>89708_Mod</t>
  </si>
  <si>
    <t>CAIXA SIFONADA, PVC, DN 150 X 150 X 50 MM, JUNTA ELÁSTICA, FORNECIDA E INSTALADA EM RAMAL DE DESCARGA OU EM RAMAL DE ESGOTO SANITÁRIO. AF_12/2014</t>
  </si>
  <si>
    <t>89708_Mod1</t>
  </si>
  <si>
    <t>CAIXA SIFONADA, PVC, DN 250 X 230 X 75 MM, JUNTA ELÁSTICA, FORNECIDA E INSTALADA EM RAMAL DE DESCARGA OU EM RAMAL DE ESGOTO SANITÁRIO. AF_12/2014</t>
  </si>
  <si>
    <t>04.01.403</t>
  </si>
  <si>
    <t>CAIXAS ESGOTAMENTO SANITÁRIO</t>
  </si>
  <si>
    <t>CAIXA ENTERRADA HIDRÁULICA RETANGULAR, EM ALVENARIA COM BLOCOS DE CONCRETO, DIMENSÕES INTERNAS: 0,6X0,6X0,6 M PARA REDE DE ESGOTO. AF_05/2018</t>
  </si>
  <si>
    <t>98111_Mod</t>
  </si>
  <si>
    <t>CAIXA DE DESCARGA PARA DRENAGEM DE AR-CONDICIONADO, CIRCULAR, EM POLIETILENO, FUNDO EM BRITA, DIÂMETRO INTERNO = 0,3 M</t>
  </si>
  <si>
    <t>04.01.404</t>
  </si>
  <si>
    <t>VENTILAÇÃO</t>
  </si>
  <si>
    <t>CC.0087</t>
  </si>
  <si>
    <t>TERMINAL DE VENTILAÇÃO, 50 MM, SERIE NORMAL, ESGOTO PREDIAL - FORNECIMENTO E INSTALAÇÃO</t>
  </si>
  <si>
    <t>CC.0088</t>
  </si>
  <si>
    <t>TUBO PVC, SERIE NORMAL, ESGOTO PREDIAL, DN 50 MM, FORNECIDO E INSTALADO EM PRUMADA DE ESGOTO SANITÁRIO OU VENTILAÇÃO. AF_12/2014</t>
  </si>
  <si>
    <t>CURVA CURTA 90 GRAUS, PVC, SERIE NORMAL, ESGOTO PREDIAL, DN 75 MM, JUNTA ELÁSTICA, FORNECIDO E INSTALADO EM PRUMADA DE ESGOTO SANITÁRIO OU VENTILAÇÃO. AF_12/2014</t>
  </si>
  <si>
    <t>CURVA CURTA 90 GRAUS, PVC, SERIE NORMAL, ESGOTO PREDIAL, DN 50 MM, JUNTA ELÁSTICA, FORNECIDO E INSTALADO EM PRUMADA DE ESGOTO SANITÁRIO OU VENTILAÇÃO. AF_12/2014</t>
  </si>
  <si>
    <t>89797_Mod1</t>
  </si>
  <si>
    <t>JUNÇÃO SIMPLES, PVC, SERIE NORMAL, ESGOTO PREDIAL, DN 100 X 75 MM, JUNTA ELÁSTICA, FORNECIDO E INSTALADO EM RAMAL DE DESCARGA OU RAMAL DE ESGOTO SANITÁRIO</t>
  </si>
  <si>
    <t>TE, PVC, SERIE NORMAL, ESGOTO PREDIAL, DN 50 X 50 MM, JUNTA ELÁSTICA, FORNECIDO E INSTALADO EM RAMAL DE DESCARGA OU RAMAL DE ESGOTO SANITÁRIO. AF_12/2014</t>
  </si>
  <si>
    <t>89786_Mod</t>
  </si>
  <si>
    <t>JOELHO 90 GRAUS, PVC, SERIE NORMAL, ESGOTO PREDIAL, DN 50 MM, JUNTA ELÁSTICA, FORNECIDO E INSTALADO EM PRUMADA DE ESGOTO SANITÁRIO OU VENTILAÇÃO. AF_12/2014</t>
  </si>
  <si>
    <t>04.01.500</t>
  </si>
  <si>
    <t>CENTRAL DE GLP</t>
  </si>
  <si>
    <t>TUBO DE AÇO GALVANIZADO COM COSTURA, CLASSE MÉDIA, CONEXÃO ROSQUEADA, DN 15 (1/2"), INSTALADO EM RAMAIS E SUB-RAMAIS DE GÁS - FORNECIMENTO E INSTALAÇÃO. AF_12/2015</t>
  </si>
  <si>
    <t>TUBO DE AÇO GALVANIZADO COM COSTURA, CLASSE MÉDIA, CONEXÃO ROSQUEADA, DN 20 (3/4"), INSTALADO EM RAMAIS E SUB-RAMAIS DE GÁS - FORNECIMENTO E INSTALAÇÃO. AF_12/2015</t>
  </si>
  <si>
    <t>CC.0025</t>
  </si>
  <si>
    <t>MANGUEIRA CHICOTE PIG TAIL P-45 – 50 cm - 7/8x7/16 POLEGADAS - FORNECIMENTO E INSTALAÇÃO</t>
  </si>
  <si>
    <t>94471_Mod</t>
  </si>
  <si>
    <t>COTOVELO 90 GRAUS, EM FERRO GALVANIZADO, 1/2" - FORNECIMENTO E INSTALAÇÃO</t>
  </si>
  <si>
    <t>92703_Mod2</t>
  </si>
  <si>
    <t>COTOVELO DE REDUÇÃO 3/4 X ½" – FERRO GALVANIZADO - FORNECIMENTO E INSTALAÇÃO</t>
  </si>
  <si>
    <t>92696_Mod1</t>
  </si>
  <si>
    <t>VÁLVULA DE RETENÇÃO EM LATÃO 1/2"x7/16" NPT - FORNECIMENTO E INSTALAÇÃO</t>
  </si>
  <si>
    <t>92696_Mod2</t>
  </si>
  <si>
    <t>VÁLVULA DE ESFERA 3/4" NPT TRIPARTIDA 300 Lbs - FORNECIMENTO E INSTALAÇÃO</t>
  </si>
  <si>
    <t>92696_Mod3</t>
  </si>
  <si>
    <t>BUCHA DE REDUÇÃO, FERRO GALVANIZADO, 1/2"x1/4" - FORNECIMENTO E INSTALAÇÃO</t>
  </si>
  <si>
    <t>MANOMETRO 0 A 200 PSI (0 A 14 KGF/CM2), D = 50MM - FORNECIMENTO E COLOCACAO</t>
  </si>
  <si>
    <t>85120_Mod</t>
  </si>
  <si>
    <t>REGISTRO OU REGULADOR DE GAS COZINHA, 12kg/h - FORNECIMENTO E INSTALAÇÃO</t>
  </si>
  <si>
    <t>92696_Mod4</t>
  </si>
  <si>
    <t>REGISTRO DE GÁS ESFERA. EM LATÃO, 1/2" NPTM – FORNECIMENTO E INSTALAÇÃO</t>
  </si>
  <si>
    <t>92696_Mod5</t>
  </si>
  <si>
    <t>CONECTOR BRONZE/LATAO 1/2" - FORNECIMENTO E INSTALAÇÃO</t>
  </si>
  <si>
    <t>CC.0026</t>
  </si>
  <si>
    <t>DETECTOR DE GLP COM EMISSÃO DE ALARME VISUAL E SONORO - FORNECIMENTO E INSTALAÇÃO</t>
  </si>
  <si>
    <t>04.02.000</t>
  </si>
  <si>
    <t>04.02.100</t>
  </si>
  <si>
    <t>ÁGUA FRIA</t>
  </si>
  <si>
    <t>04.02.101</t>
  </si>
  <si>
    <t>TE, PVC, SOLDÁVEL, DN 25MM, INSTALADO EM RAMAL DE DISTRIBUIÇÃO DE ÁGUA - FORNECIMENTO E INSTALAÇÃO. AF_12/2014</t>
  </si>
  <si>
    <t>JOELHO 45 GRAUS, PVC, SOLDÁVEL, DN 25MM, INSTALADO EM PRUMADA DE ÁGUA - FORNECIMENTO E INSTALAÇÃO. AF_12/2014</t>
  </si>
  <si>
    <t>04.02.102</t>
  </si>
  <si>
    <t>ALIMENTAÇÃO - ÁGUA FRIA</t>
  </si>
  <si>
    <t>ADAPTADOR COM FLANGES LIVRES, PVC, SOLDÁVEL, DN 25 MM X 3/4 , INSTALADO EM RESERVAÇÃO DE ÁGUA DE EDIFICAÇÃO QUE POSSUA RESERVATÓRIO DE FIBRA/FIBROCIMENTO FORNECIMENTO E INSTALAÇÃO. AF_06/2016</t>
  </si>
  <si>
    <t>ADAPTADOR COM FLANGES LIVRES, PVC, SOLDÁVEL, DN 32 MM X 1 , INSTALADO EM RESERVAÇÃO DE ÁGUA DE EDIFICAÇÃO QUE POSSUA RESERVATÓRIO DE FIBRA/FIBROCIMENTO FORNECIMENTO E INSTALAÇÃO. AF_06/2016</t>
  </si>
  <si>
    <t>JOELHO 45 GRAUS, PVC, SOLDÁVEL, DN 25MM, INSTALADO EM RAMAL OU SUB-RAMAL DE ÁGUA - FORNECIMENTO E INSTALAÇÃO. AF_12/2014</t>
  </si>
  <si>
    <t>CAIXA D´ÁGUA EM POLIETILENO, 1000 LITROS, COM ACESSÓRIOS</t>
  </si>
  <si>
    <t>04.02.103</t>
  </si>
  <si>
    <t>89627_Mod</t>
  </si>
  <si>
    <t>TÊ DE REDUÇÃO, PVC, SOLDÁVEL, DN 50MM X 32MM, INSTALADO EM PRUMADA DE ÁGUA - FORNECIMENTO E INSTALAÇÃO. AF_12/2014</t>
  </si>
  <si>
    <t>89579_Mod</t>
  </si>
  <si>
    <t>BUCHA DE REDUÇÃO, PVC, SOLDÁVEL, LONGA, DN 50MM X 32MM - FORNECIMENTO E INSTALAÇÃO.</t>
  </si>
  <si>
    <t>ADAPTADOR COM FLANGES LIVRES, PVC, SOLDÁVEL, DN 50 MM X 1 1/2 , INSTALADO EM RESERVAÇÃO DE ÁGUA DE EDIFICAÇÃO QUE POSSUA RESERVATÓRIO DE FIBRA/FIBROCIMENTO FORNECIMENTO E INSTALAÇÃO. AF_06/2016</t>
  </si>
  <si>
    <t>04.02.104</t>
  </si>
  <si>
    <t>9535_Mod1</t>
  </si>
  <si>
    <t>CHUVEIRO ELÉTRICO COM CANO, 3 TEMPERATURAS, 5500 W (110/220 V) - FORNECIMENTO E INSTALAÇÃO</t>
  </si>
  <si>
    <t>86932_Mod</t>
  </si>
  <si>
    <t>VASO SANITÁRIO SIFONADO COM CAIXA ACOPLADA LOUÇA BRANCA, COM ASSENTO SANITÁRIO, INCLUSO ENGATE FLEXÍVEL EM METAL CROMADO, 1/2? X 40CM, PARAFUSOS PARA FIXAÇÃO E ANEL DE VEDAÇÃO - FORNECIMENTO E INSTALAÇÃO.</t>
  </si>
  <si>
    <t>04.02.105</t>
  </si>
  <si>
    <t>BASES APOIO CAIXA D'ÁGUA</t>
  </si>
  <si>
    <t>CC.0301</t>
  </si>
  <si>
    <t>04.02.200</t>
  </si>
  <si>
    <t>04.02.201</t>
  </si>
  <si>
    <t>TUBO DE PVC PARA REDE COLETORA DE ESGOTO DE PAREDE MACIÇA, DN 300 MM, JUNTA ELÁSTICA, INSTALADO EM LOCAL COM NÍVEL BAIXO DE INTERFERÊNCIAS - FORNECIMENTO E ASSENTAMENTO. AF_06/2015</t>
  </si>
  <si>
    <t>TUBO PVC, SÉRIE R, ÁGUA PLUVIAL, DN 100 MM, FORNECIDO E INSTALADO EM CONDUTORES VERTICAIS DE ÁGUAS PLUVIAIS. AF_12/2014</t>
  </si>
  <si>
    <t>JOELHO 90 GRAUS, PVC, SERIE R, ÁGUA PLUVIAL, DN 150 MM, JUNTA ELÁSTICA, FORNECIDO E INSTALADO EM CONDUTORES VERTICAIS DE ÁGUAS PLUVIAIS. AF_12/2014</t>
  </si>
  <si>
    <t>JOELHO 90 GRAUS, PVC, SERIE R, ÁGUA PLUVIAL, DN 100 MM, JUNTA ELÁSTICA, FORNECIDO E INSTALADO EM CONDUTORES VERTICAIS DE ÁGUAS PLUVIAIS. AF_12/2014</t>
  </si>
  <si>
    <t>LUVA DE CORRER, PVC, SERIE R, ÁGUA PLUVIAL, DN 150 MM, JUNTA ELÁSTICA, FORNECIDO E INSTALADO EM CONDUTORES VERTICAIS DE ÁGUAS PLUVIAIS. AF_12/2014</t>
  </si>
  <si>
    <t>LUVA DE CORRER, PVC, SERIE R, ÁGUA PLUVIAL, DN 100 MM, JUNTA ELÁSTICA, FORNECIDO E INSTALADO EM CONDUTORES VERTICAIS DE ÁGUAS PLUVIAIS. AF_12/2014</t>
  </si>
  <si>
    <t>04.02.202</t>
  </si>
  <si>
    <t>04.02.300</t>
  </si>
  <si>
    <t>04.02.301</t>
  </si>
  <si>
    <t>TUBULAÇÕES E CONEXÕES DE PVC</t>
  </si>
  <si>
    <t>TUBO PVC, SERIE NORMAL, ESGOTO PREDIAL, DN 150 MM, FORNECIDO E INSTALADO EM SUBCOLETOR AÉREO DE ESGOTO SANITÁRIO. AF_12/2014</t>
  </si>
  <si>
    <t>LUVA SIMPLES, PVC, SERIE NORMAL, ESGOTO PREDIAL, DN 40 MM, JUNTA SOLDÁVEL, FORNECIDO E INSTALADO EM RAMAL DE DESCARGA OU RAMAL DE ESGOTO SANITÁRIO. AF_12/2014</t>
  </si>
  <si>
    <t>04.02.302</t>
  </si>
  <si>
    <t>04.02.303</t>
  </si>
  <si>
    <t>CAIXAS DE PASSAGEM ESGOTAMENTO SANITÁRIO</t>
  </si>
  <si>
    <t>72289_Mod</t>
  </si>
  <si>
    <t>CAIXA COLETORA/ SEPARADORA DE ÓLEO 80X80X110CM EM ALVENARIA</t>
  </si>
  <si>
    <t>72289_Mod1</t>
  </si>
  <si>
    <t>CAIXA DE ÓLEO 100X100X110CM EM ALVENARIA</t>
  </si>
  <si>
    <t>04.02.204</t>
  </si>
  <si>
    <t>LUVA SIMPLES, PVC, SERIE NORMAL, ESGOTO PREDIAL, DN 50 MM, JUNTA ELÁSTICA, FORNECIDO E INSTALADO EM PRUMADA DE ESGOTO SANITÁRIO OU VENTILAÇÃO. AF_12/2014</t>
  </si>
  <si>
    <t>89834_Mod</t>
  </si>
  <si>
    <t>JUNÇÃO SIMPLES, PVC, SERIE NORMAL, ESGOTO PREDIAL, DN 100 X 50 MM, JUNTA ELÁSTICA - FORNECIMENTO E INSTALAÇÃO</t>
  </si>
  <si>
    <t>05.00.000</t>
  </si>
  <si>
    <t>INSTALAÇÕES ELÉTRICAS E ELETRÔNICAS</t>
  </si>
  <si>
    <t>05.01.000</t>
  </si>
  <si>
    <t>05.01.100</t>
  </si>
  <si>
    <t>INSTALAÇÕES ELÉTRICAS</t>
  </si>
  <si>
    <t>05.01.101</t>
  </si>
  <si>
    <t>QUADROS DE FORÇA</t>
  </si>
  <si>
    <t>05.01.101.1</t>
  </si>
  <si>
    <t>QDG</t>
  </si>
  <si>
    <t>DISJUNTOR MONOPOLAR TIPO DIN, CORRENTE NOMINAL DE 25A - FORNECIMENTO E INSTALAÇÃO. AF_04/2016</t>
  </si>
  <si>
    <t>DISJUNTOR TRIPOLAR TIPO DIN, CORRENTE NOMINAL DE 25A - FORNECIMENTO E INSTALAÇÃO. AF_04/2016</t>
  </si>
  <si>
    <t>DISJUNTOR TRIPOLAR TIPO DIN, CORRENTE NOMINAL DE 40A - FORNECIMENTO E INSTALAÇÃO. AF_04/2016</t>
  </si>
  <si>
    <t>93673_Mod</t>
  </si>
  <si>
    <t>DISJUNTOR TRIPOLAR TIPO DIN, CORRENTE NOMINAL DE 63A - FORNECIMENTO E INSTALAÇÃO</t>
  </si>
  <si>
    <t>CC.0034</t>
  </si>
  <si>
    <t>DISPOSITIVO DE PROTEÇÃO DIFERENCIAL (DR), BIPOLAR 125A, 30mA</t>
  </si>
  <si>
    <t>CC.0218</t>
  </si>
  <si>
    <t>DISPOSITIVO DE PROTEÇÃO CONTRA SURTO DE TENSÃO DPS 175 V - 40 kA</t>
  </si>
  <si>
    <t>05.01.101.2</t>
  </si>
  <si>
    <t>QDT</t>
  </si>
  <si>
    <t>DISJUNTOR MONOPOLAR TIPO DIN, CORRENTE NOMINAL DE 10A - FORNECIMENTO E INSTALAÇÃO. AF_04/2016</t>
  </si>
  <si>
    <t>DISJUNTOR MONOPOLAR TIPO DIN, CORRENTE NOMINAL DE 20A - FORNECIMENTO E INSTALAÇÃO. AF_04/2016</t>
  </si>
  <si>
    <t>CC.0030</t>
  </si>
  <si>
    <t>DISPOSITIVO DE PROTEÇÃO DIFERENCIAL (DR), BIPOLAR 25A, 30mA</t>
  </si>
  <si>
    <t>05.01.101.3</t>
  </si>
  <si>
    <t>QACT</t>
  </si>
  <si>
    <t>CC.0219</t>
  </si>
  <si>
    <t>DISPOSITIVO DE PROTEÇÃO DIFERENCIAL (DR), BIPOLAR 40A, 30mA</t>
  </si>
  <si>
    <t>05.01.101.4</t>
  </si>
  <si>
    <t>QMB ILUMINAÇÃO EXTERNA</t>
  </si>
  <si>
    <t>DISJUNTOR MONOPOLAR TIPO DIN, CORRENTE NOMINAL DE 16A - FORNECIMENTO E INSTALAÇÃO. AF_04/2016</t>
  </si>
  <si>
    <t>05.01.101.5</t>
  </si>
  <si>
    <t>QDS</t>
  </si>
  <si>
    <t>05.01.101.6</t>
  </si>
  <si>
    <t>QACS</t>
  </si>
  <si>
    <t>CC.0032</t>
  </si>
  <si>
    <t>DISPOSITIVO DE PROTEÇÃO DIFERENCIAL (DR), BIPOLAR 63A, 30mA</t>
  </si>
  <si>
    <t>05.01.101.7</t>
  </si>
  <si>
    <t>QCx</t>
  </si>
  <si>
    <t>05.01.101.8</t>
  </si>
  <si>
    <t>QI</t>
  </si>
  <si>
    <t>DISJUNTOR TRIPOLAR TIPO DIN, CORRENTE NOMINAL DE 16A - FORNECIMENTO E INSTALAÇÃO. AF_04/2016</t>
  </si>
  <si>
    <t>DISJUNTOR TRIPOLAR TIPO DIN, CORRENTE NOMINAL DE 20A - FORNECIMENTO E INSTALAÇÃO. AF_04/2016</t>
  </si>
  <si>
    <t>05.01.102</t>
  </si>
  <si>
    <t>ELETRODUTOS E ACESSÓRIOS</t>
  </si>
  <si>
    <t>91868_Mod</t>
  </si>
  <si>
    <t>ELETRODUTO RÍGIDO ROSCÁVEL, PVC, DN 32 MM (1") - FORNECIMENTO E INSTALAÇÃO. AF_12/2015</t>
  </si>
  <si>
    <t>91876_Mod</t>
  </si>
  <si>
    <t>LUVA PARA ELETRODUTO, PVC, ROSCÁVEL, DN 32 MM (1") - FORNECIMENTO E INSTALAÇÃO.</t>
  </si>
  <si>
    <t>91869_Mod</t>
  </si>
  <si>
    <t>ELETRODUTO RÍGIDO ROSCÁVEL, PVC, DN 40 MM (1 1/4") - FORNECIMENTO E INSTALAÇÃO. AF_12/2015</t>
  </si>
  <si>
    <t>91877_Mod</t>
  </si>
  <si>
    <t>LUVA PARA ELETRODUTO, PVC, ROSCÁVEL, DN 40 MM (1 1/4") - FORNECIMENTO E INSTALAÇÃO.</t>
  </si>
  <si>
    <t>ELETRODUTO RÍGIDO ROSCÁVEL, PVC, DN 50 MM (1 1/2") - FORNECIMENTO E INSTALAÇÃO. AF_12/2015</t>
  </si>
  <si>
    <t>LUVA PARA ELETRODUTO, PVC, ROSCÁVEL, DN 50 MM (1 1/2") - FORNECIMENTO E INSTALAÇÃO. AF_12/2015</t>
  </si>
  <si>
    <t>ELETRODUTO RÍGIDO ROSCÁVEL, PVC, DN 85 MM (3") - FORNECIMENTO E INSTALAÇÃO. AF_12/2015</t>
  </si>
  <si>
    <t>LUVA PARA ELETRODUTO, PVC, ROSCÁVEL, DN 85 MM (3") - FORNECIMENTO E INSTALAÇÃO. AF_12/2015</t>
  </si>
  <si>
    <t>05.01.103</t>
  </si>
  <si>
    <t>CABOS E FIOS</t>
  </si>
  <si>
    <t>CABO DE COBRE FLEXÍVEL ISOLADO, 1,5 MM², ANTI-CHAMA 450/750 V, PARA CIRCUITOS TERMINAIS - FORNECIMENTO E INSTALAÇÃO. AF_12/2015</t>
  </si>
  <si>
    <t>CABO DE COBRE FLEXÍVEL ISOLADO, 2,5 MM², ANTI-CHAMA 450/750 V, PARA CIRCUITOS TERMINAIS - FORNECIMENTO E INSTALAÇÃO. AF_12/2015</t>
  </si>
  <si>
    <t>CABO DE COBRE FLEXÍVEL ISOLADO, 4 MM², ANTI-CHAMA 450/750 V, PARA CIRCUITOS TERMINAIS - FORNECIMENTO E INSTALAÇÃO. AF_12/2015</t>
  </si>
  <si>
    <t>CABO DE COBRE FLEXÍVEL ISOLADO, 6 MM², ANTI-CHAMA 450/750 V, PARA CIRCUITOS TERMINAIS - FORNECIMENTO E INSTALAÇÃO. AF_12/2015</t>
  </si>
  <si>
    <t>CABO DE COBRE FLEXÍVEL ISOLADO, 10 MM², ANTI-CHAMA 0,6/1,0 KV, PARA CIRCUITOS TERMINAIS - FORNECIMENTO E INSTALAÇÃO. AF_12/2015</t>
  </si>
  <si>
    <t>CABO DE COBRE FLEXÍVEL ISOLADO, 16 MM², ANTI-CHAMA 0,6/1,0 KV, PARA CIRCUITOS TERMINAIS - FORNECIMENTO E INSTALAÇÃO. AF_12/2015</t>
  </si>
  <si>
    <t>CABO DE COBRE FLEXÍVEL ISOLADO, 50 MM², ANTI-CHAMA 0,6/1,0 KV, PARA DISTRIBUIÇÃO - FORNECIMENTO E INSTALAÇÃO. AF_12/2015</t>
  </si>
  <si>
    <t>05.01.104</t>
  </si>
  <si>
    <t>LUMINÁRIAS</t>
  </si>
  <si>
    <t>97587_Mod</t>
  </si>
  <si>
    <t>LUMINÁRIA DE EMBUTIR FLUORESCENTE 2 LÂMPADAS DE 18W, EM CHAPA METÁLICA COM ACABAMENTO EM PINTURA ELETROSTÁTICA EPÓXI-PÓ NA COR BRANCA,60 x 258 x 660 mm - FORNECIMENTO E INSTALAÇÃO</t>
  </si>
  <si>
    <t>97857_Mod1</t>
  </si>
  <si>
    <t>LUMINÁRIA DE EMBUTIR FLUORESCENTE 2 LÂMPADAS DE 32W, EM CHAPA METÁLICA COM ACABAMENTO EM PINTURA ELETROSTÁTICA EPÓXI-PÓ NA COR BRANCA,60 x 258 x 1250 mm - FORNECIMENTO E INSTALAÇÃO</t>
  </si>
  <si>
    <t>97587_Mod2</t>
  </si>
  <si>
    <t>LUMINÁRIA DE EMBUTIR FLUORESCENTE 4 LÂMPADAS DE 16W, EM CHAPA METÁLICA COM ACABAMENTO EM PINTURA ELETROSTÁTICA EPÓXI-PÓ NA COR BRANCA,70 x 618 x 645 mm - FORNECIMENTO E INSTALAÇÃO</t>
  </si>
  <si>
    <t>97587_Mod3</t>
  </si>
  <si>
    <t>LUMINÁRIA DE EMBUTIR FLUORESCENTE 4 LÂMPADAS DE 18W, EM CHAPA METÁLICA COM ACABAMENTO EM PINTURA ELETROSTÁTICA EPÓXI-PÓ NA COR BRANCA,70 x 618 x 645 mm - FORNECIMENTO E INSTALAÇÃO</t>
  </si>
  <si>
    <t>97587_Mod4</t>
  </si>
  <si>
    <t>LUMINÁRIA DE EMBUTIR FLUORESCENTE 4 LÂMPADAS DE 32W, EM CHAPA METÁLICA COM ACABAMENTO EM PINTURA ELETROSTÁTICA EPÓXI-PÓ NA COR BRANCA,70 x 618 x 645 mm - FORNECIMENTO E INSTALAÇÃO</t>
  </si>
  <si>
    <t>LUMINÁRIA ARANDELA TIPO TARTARUGA, COM GRADE, PARA 1 LÂMPADA DE 15 W - FORNECIMENTO E INSTALAÇÃO. AF_11/2017</t>
  </si>
  <si>
    <t>97587_Mod5</t>
  </si>
  <si>
    <t>LUMINÁRIA PENDENTE PARA LÂMPADA MULTIVAPOR METÁLICO 250W, DIÂMETRO 22", ALTURA 670mm, EM CHAPA METÁLICA COM ACABAMENTO EM PINTURA ELETROSTÁTICA EPÓXI-PÓ NA COR BRANCA - FORNECIMENTO E INSTALAÇÃO</t>
  </si>
  <si>
    <t>97587_Mod7</t>
  </si>
  <si>
    <t>LUMINÁRIA PARA JARDIM TIPO ESPETO, PAR20 E27, 50W, ACABAMENTO EM PLÁSTICO ULTRA RESISTENTE - FORNECIMENTO E INSTALAÇÃO</t>
  </si>
  <si>
    <t>97857_Mod8</t>
  </si>
  <si>
    <t>05.01.105</t>
  </si>
  <si>
    <t>INTERRUPTORES E TOMADAS</t>
  </si>
  <si>
    <t>INTERRUPTOR SIMPLES (1 MÓDULO), 10A/250V, INCLUINDO SUPORTE E PLACA - FORNECIMENTO E INSTALAÇÃO. AF_12/2015</t>
  </si>
  <si>
    <t>INTERRUPTOR SIMPLES (2 MÓDULOS), 10A/250V, INCLUINDO SUPORTE E PLACA - FORNECIMENTO E INSTALAÇÃO. AF_12/2015</t>
  </si>
  <si>
    <t>INTERRUPTOR SIMPLES (3 MÓDULOS), 10A/250V, INCLUINDO SUPORTE E PLACA - FORNECIMENTO E INSTALAÇÃO. AF_12/2015</t>
  </si>
  <si>
    <t>INTERRUPTOR SIMPLES (4 MÓDULOS), 10A/250V, INCLUINDO SUPORTE E PLACA - FORNECIMENTO E INSTALAÇÃO. AF_12/2015</t>
  </si>
  <si>
    <t>INTERRUPTOR PARALELO (1 MÓDULO), 10A/250V, INCLUINDO SUPORTE E PLACA - FORNECIMENTO E INSTALAÇÃO. AF_12/2015</t>
  </si>
  <si>
    <t>INTERRUPTOR PARALELO (2 MÓDULOS), 10A/250V, INCLUINDO SUPORTE E PLACA - FORNECIMENTO E INSTALAÇÃO. AF_12/2015</t>
  </si>
  <si>
    <t>INTERRUPTOR INTERMEDIÁRIO (1 MÓDULO), 10A/250V, INCLUINDO SUPORTE E PLACA - FORNECIMENTO E INSTALAÇÃO. AF_09/2017</t>
  </si>
  <si>
    <t>TOMADA BAIXA DE EMBUTIR (1 MÓDULO), 2P+T 10 A, INCLUINDO SUPORTE E PLACA - FORNECIMENTO E INSTALAÇÃO. AF_12/2015</t>
  </si>
  <si>
    <t>TOMADA MÉDIA DE EMBUTIR (1 MÓDULO), 2P+T 10 A, INCLUINDO SUPORTE E PLACA - FORNECIMENTO E INSTALAÇÃO. AF_12/2015</t>
  </si>
  <si>
    <t>TOMADA ALTA DE EMBUTIR (1 MÓDULO), 2P+T 10 A, INCLUINDO SUPORTE E PLACA - FORNECIMENTO E INSTALAÇÃO. AF_12/2015</t>
  </si>
  <si>
    <t>TOMADA MÉDIA DE EMBUTIR (1 MÓDULO), 2P+T 20 A, INCLUINDO SUPORTE E PLACA - FORNECIMENTO E INSTALAÇÃO. AF_12/2015</t>
  </si>
  <si>
    <t>CAIXA RETANGULAR 4" X 2" MÉDIA (1,30 M DO PISO), PVC, INSTALADA EM PAREDE - FORNECIMENTO E INSTALAÇÃO. AF_12/2015</t>
  </si>
  <si>
    <t>CAIXA RETANGULAR 4" X 2" BAIXA (0,30 M DO PISO), PVC, INSTALADA EM PAREDE - FORNECIMENTO E INSTALAÇÃO. AF_12/2015</t>
  </si>
  <si>
    <t>05.01.106</t>
  </si>
  <si>
    <t>ELETROCALHAS</t>
  </si>
  <si>
    <t>CC.0178</t>
  </si>
  <si>
    <t>ELETROCALHA PERFURADA EM AÇO GALVANIZADO, LARGURA 100MM E ALTURA 50MM, INCLUSIVE TAMPA, EMENDA E FIXAÇÃO - FORNECIMENTO E INSTALAÇÃO</t>
  </si>
  <si>
    <t>05.01.107</t>
  </si>
  <si>
    <t>SISTEMA DE PROTEÇÃO CONTRA DESCARGAS ATMOSFÉRICAS - SPDA</t>
  </si>
  <si>
    <t>ED-51021/SETOP</t>
  </si>
  <si>
    <t>RE-BAR 8MM X 4M COM 3 CLIPS PARA EMENDA 8-10MM</t>
  </si>
  <si>
    <t>ED-51023/SETOP</t>
  </si>
  <si>
    <t>RE-BAR 3/8" X 3,4M COM 3 CLIPS PARA EMENDA 8-10MM</t>
  </si>
  <si>
    <t>CAIXA DE INSPEÇÃO PARA ATERRAMENTO, CIRCULAR, EM POLIETILENO, DIÂMETRO INTERNO = 0,3 M. AF_05/2018</t>
  </si>
  <si>
    <t>CC.0299</t>
  </si>
  <si>
    <t>TERMINAL AÉREO EM AÇO GALVANIZADO DN 5/16", COMPRIMENTO 30 CM - FORNECIMENTO E INSTALAÇÃO</t>
  </si>
  <si>
    <t>CAPTOR TIPO FRANKLIN PARA SPDA - FORNECIMENTO E INSTALAÇÃO. AF_12/2017</t>
  </si>
  <si>
    <t>05.01.200</t>
  </si>
  <si>
    <t>REDE DE LÓGICA, TELEFONIA E CFTV</t>
  </si>
  <si>
    <t>05.01.201</t>
  </si>
  <si>
    <t>TOMADAS, ELETRODUTOS, CABEAMENTO E CAIXAS DE PASSAGEM</t>
  </si>
  <si>
    <t>ELETRODUTO RÍGIDO ROSCÁVEL, PVC, DN 60 MM (2") - FORNECIMENTO E INSTALAÇÃO. AF_12/2015</t>
  </si>
  <si>
    <t>LUVA PARA ELETRODUTO, PVC, ROSCÁVEL, DN 60 MM (2") - FORNECIMENTO E INSTALAÇÃO. AF_12/2015</t>
  </si>
  <si>
    <t>73749/1</t>
  </si>
  <si>
    <t>CAIXA ENTERRADA PARA INSTALACOES TELEFONICAS TIPO R1 0,60X0,35X0,50M EM BLOCOS DE CONCRETO ESTRUTURAL</t>
  </si>
  <si>
    <t>ELETRODUTO FLEXÍVEL CORRUGADO, PVC, DN 32 MM (1"), PARA CIRCUITOS TERMINAIS, INSTALADO EM FORRO - FORNECIMENTO E INSTALAÇÃO. AF_12/2015</t>
  </si>
  <si>
    <t>ELETRODUTO RÍGIDO ROSCÁVEL, PVC, DN 32 MM (1"), PARA CIRCUITOS TERMINAIS, INSTALADO EM FORRO - FORNECIMENTO E INSTALAÇÃO. AF_12/2015</t>
  </si>
  <si>
    <t>LUVA PARA ELETRODUTO, PVC, ROSCÁVEL, DN 32 MM (1"), PARA CIRCUITOS TERMINAIS, INSTALADA EM FORRO - FORNECIMENTO E INSTALAÇÃO. AF_12/2015</t>
  </si>
  <si>
    <t>ELETRODUTO RÍGIDO ROSCÁVEL, PVC, DN 40 MM (1 1/4"), PARA CIRCUITOS TERMINAIS, INSTALADO EM FORRO - FORNECIMENTO E INSTALAÇÃO. AF_12/2015</t>
  </si>
  <si>
    <t>LUVA PARA ELETRODUTO, PVC, ROSCÁVEL, DN 40 MM (1 1/4"), PARA CIRCUITOS TERMINAIS, INSTALADA EM FORRO - FORNECIMENTO E INSTALAÇÃO. AF_12/2015</t>
  </si>
  <si>
    <t>CONDULETE DE PVC, TIPO LB, PARA ELETRODUTO DE PVC SOLDÁVEL DN 25 MM (3/4''), APARENTE - FORNECIMENTO E INSTALAÇÃO. AF_11/2016</t>
  </si>
  <si>
    <t>CC.0058</t>
  </si>
  <si>
    <t>CAIXA DE PASSAGEM EMBUTIR PVC 120 X 120 X 75 MM - FORNECIMENTO E INSTALAÇÃO</t>
  </si>
  <si>
    <t>CC.0173</t>
  </si>
  <si>
    <t>TOMADA DUPLA PARA LÓGICA RJ45, CAT.6, COM CAIXA PVC, MÓDULOS E ESPELHO, COMPLETA</t>
  </si>
  <si>
    <t>TOMADA DE REDE RJ45 - FORNECIMENTO E INSTALAÇÃO. AF_03/2018</t>
  </si>
  <si>
    <t>91937_Mod</t>
  </si>
  <si>
    <t>CAIXA RETANGULAR 4" X 2", PVC, INSTALADA NO PISO - FORNECIMENTO E INSTALAÇÃO</t>
  </si>
  <si>
    <t>CABO ELETRÔNICO CATEGORIA 6, INSTALADO EM EDIFICAÇÃO INSTITUCIONAL - FORNECIMENTO E INSTALAÇÃO. AF_03/2018</t>
  </si>
  <si>
    <t>98297_Mod</t>
  </si>
  <si>
    <t>PATCH CORD – RJ45-RJ45 – CAT 6 – 2,0m - FORNECIMENTO E INSTALAÇÃO</t>
  </si>
  <si>
    <t>CC.0213</t>
  </si>
  <si>
    <t>GUIA DE CABO HORIZONTAL FECHADO 19" - 1U - P50 - FORNECIMENTO E INSTALAÇÃO</t>
  </si>
  <si>
    <t>05.01.202</t>
  </si>
  <si>
    <t>CC.0176</t>
  </si>
  <si>
    <t>ELETROCALHA PERFURADA EM AÇO GALVANIZADO, LARGURA 50MM E ALTURA 50MM, INCLUSIVE TAMPA, EMENDA E FIXAÇÃO - FORNECIMENTO E INSTALAÇÃO</t>
  </si>
  <si>
    <t>CC.0287</t>
  </si>
  <si>
    <t>REDUÇÃO CONCÊNTRICA100X50MM COM TAMPA</t>
  </si>
  <si>
    <t>CC.0288</t>
  </si>
  <si>
    <t>CURVA HORIZONTAL 45º PARA ELETROCALHA 100X50 (COM TAMPA)</t>
  </si>
  <si>
    <t>CC.0289</t>
  </si>
  <si>
    <t>CURVA DE INVERSÃO 100X50 COM TAMPA</t>
  </si>
  <si>
    <t>CC.0185</t>
  </si>
  <si>
    <t>CURVA DE INVERSÃO 90º - 50 X 50 MM PARA ELETROCALHA METÁLICA</t>
  </si>
  <si>
    <t>CC.0186</t>
  </si>
  <si>
    <t>TÊ HORIZONTAL 100 X 50 MM PARA ELETROCALHA METÁLICA</t>
  </si>
  <si>
    <t>CC.0187</t>
  </si>
  <si>
    <t>TÊ HORIZONTAL 50 X 50 MM PARA ELETROCALHA METÁLICA</t>
  </si>
  <si>
    <t>CC.0290</t>
  </si>
  <si>
    <t>TE VERTICAL DESCIDA/SUBIDA PARA ELETROCALHA 100X50 (COM TAMPA)</t>
  </si>
  <si>
    <t>CC.0181</t>
  </si>
  <si>
    <t>TERMINAL DE FECHAMENTO 100 X 50 MM PARA ELETROCALHA METALICA</t>
  </si>
  <si>
    <t>CC.0182</t>
  </si>
  <si>
    <t>TERMINAL DE FECHAMENTO 50 X 50 MM PARA ELETROCALHA METALICA</t>
  </si>
  <si>
    <t>05.01.300</t>
  </si>
  <si>
    <t>SONORIZAÇÃO</t>
  </si>
  <si>
    <t>05.01.301</t>
  </si>
  <si>
    <t>TOMADAS, ELETRODUTOS, CABEAMENTO, ACESSÓRIOS E CAIXAS DE PASSAGEM</t>
  </si>
  <si>
    <t>CC.0027</t>
  </si>
  <si>
    <t>POTENCIÔMETRO DE AJUSTE DE VOLUME NOS AMBIENTES, INSTALADO EM CAIXA 4X2 EMBUTIDA EM ALVENARIA, INCLUSO SUPORTE COM PLACA E CAIXA DE PASSAGEM EM PVC 4X2 - FORNECIMENTO E INSTALAÇÃO</t>
  </si>
  <si>
    <t>ELETRODUTO FLEXÍVEL CORRUGADO, PVC, DN 25 MM (3/4"), PARA CIRCUITOS TERMINAIS, INSTALADO EM FORRO - FORNECIMENTO E INSTALAÇÃO. AF_12/2015</t>
  </si>
  <si>
    <t>91924_Mod</t>
  </si>
  <si>
    <t>CC.0039</t>
  </si>
  <si>
    <t>05.02.000</t>
  </si>
  <si>
    <t>05.02.100</t>
  </si>
  <si>
    <t>05.02.101</t>
  </si>
  <si>
    <t>05.02.101.1</t>
  </si>
  <si>
    <t>DISJUNTOR MONOPOLAR TIPO DIN, CORRENTE NOMINAL DE 32A - FORNECIMENTO E INSTALAÇÃO. AF_04/2016</t>
  </si>
  <si>
    <t>05.02.101.2</t>
  </si>
  <si>
    <t>05.02.102</t>
  </si>
  <si>
    <t>ELETRODUTOS E CAIXAS DE PASSAGEM</t>
  </si>
  <si>
    <t>CC.0036</t>
  </si>
  <si>
    <t>CONSTRUÇÃO DE CAIXA SUBTERRÂNEA, EM ALVENARIA DE TIJOLO MACIÇO, CONFORME PROJETO CEB TIPO CB1, DIMENSÕES 80X80X80CM, COM TAMPA.</t>
  </si>
  <si>
    <t>05.02.103</t>
  </si>
  <si>
    <t>05.02.104</t>
  </si>
  <si>
    <t>97587_Mod6</t>
  </si>
  <si>
    <t>LUMINÁRIA PENDENTE PARA LÂMPADA MULTIVAPOR METÁLICO 400W, DIÂMETRO 22", ALTURA 670mm, EM CHAPA METÁLICA COM ACABAMENTO EM PINTURA ELETROSTÁTICA EPÓXI-PÓ NA COR BRANCA - FORNECIMENTO E INSTALAÇÃO</t>
  </si>
  <si>
    <t>97587_Mod9</t>
  </si>
  <si>
    <t>PROJETOR ORIENTÁVEL DE SOBREPOR, CORPO EM ALUMÍNIO PINTADO NA COR BRANCA, VIDRO PLANO TRANSPARENTE, PARA LÂMPADA HALÓGENA DE 300W - FORNECIMENTO E INSTALAÇÃO</t>
  </si>
  <si>
    <t>97857_Mod10</t>
  </si>
  <si>
    <t>LUMINÁRIA DE SOBREPOR FLUORESCENTE 2 LÂMPADAS DE 32W, EM CHAPA METÁLICA COM ACABAMENTO EM PINTURA ELETROSTÁTICA EPÓXI-PÓ NA COR BRANCA,60 x 227 x 1326 mm - FORNECIMENTO E INSTALAÇÃO</t>
  </si>
  <si>
    <t>97857_Mod11</t>
  </si>
  <si>
    <t>LUMINÁRIA DE SOBREPOR FLUORESCENTE 2 LÂMPADAS DE 16W, EM CHAPA METÁLICA COM ACABAMENTO EM PINTURA ELETROSTÁTICA EPÓXI-PÓ NA COR BRANCA,60 x 227 x 716 mm - FORNECIMENTO E INSTALAÇÃO</t>
  </si>
  <si>
    <t>05.02.105</t>
  </si>
  <si>
    <t>83399_Mod</t>
  </si>
  <si>
    <t>RELE FOTOELETRICO P/ COMANDO DE ILUMINACAO EXTERNA 220V/2000W - FORNECIMENTO E INSTALACAO</t>
  </si>
  <si>
    <t>05.02.106</t>
  </si>
  <si>
    <t>05.02.108</t>
  </si>
  <si>
    <t>05.03.000</t>
  </si>
  <si>
    <t>IMPLANTAÇÃO LOTE</t>
  </si>
  <si>
    <t>05.03.100</t>
  </si>
  <si>
    <t>SUBESTAÇÃO</t>
  </si>
  <si>
    <t>05.03.101</t>
  </si>
  <si>
    <t>ELETRODUTOS E CONEXÕES</t>
  </si>
  <si>
    <t>LUVA PARA ELETRODUTO, PVC, ROSCÁVEL, DN 20 MM (1/2"), PARA CIRCUITOS TERMINAIS, INSTALADA EM FORRO - FORNECIMENTO E INSTALAÇÃO. AF_12/2015</t>
  </si>
  <si>
    <t>LUVA PARA ELETRODUTO, PVC, ROSCÁVEL, DN 75 MM (2 1/2") - FORNECIMENTO E INSTALAÇÃO. AF_12/2015</t>
  </si>
  <si>
    <t>LUVA PARA ELETRODUTO, PVC, ROSCÁVEL, DN 25 MM (3/4"), PARA CIRCUITOS TERMINAIS, INSTALADA EM FORRO - FORNECIMENTO E INSTALAÇÃO. AF_12/2015</t>
  </si>
  <si>
    <t>91866_Mod</t>
  </si>
  <si>
    <t>ELETRODUTO RÍGIDO ROSCÁVEL, PVC, DN 20 MM (1/2") - FORNECIMENTO E INSTALAÇÃO. AF_12/2015</t>
  </si>
  <si>
    <t>ELETRODUTO RÍGIDO ROSCÁVEL, PVC, DN 75 MM (2 1/2") - FORNECIMENTO E INSTALAÇÃO. AF_12/2015</t>
  </si>
  <si>
    <t>91867_Mod</t>
  </si>
  <si>
    <t>ELETRODUTO RÍGIDO ROSCÁVEL, PVC, DN 25 MM (3/4") - FORNECIMENTO E INSTALAÇÃO. AF_12/2015</t>
  </si>
  <si>
    <t>ELETRODUTO RÍGIDO ROSCÁVEL, PVC, DN 110 MM (4") - FORNECIMENTO E INSTALAÇÃO. AF_12/2015</t>
  </si>
  <si>
    <t>05.03.102</t>
  </si>
  <si>
    <t>CABO DE COBRE FLEXÍVEL ISOLADO, 2,5 MM², ANTI-CHAMA 0,6/1,0 KV, PARA CIRCUITOS TERMINAIS - FORNECIMENTO E INSTALAÇÃO. AF_12/2015</t>
  </si>
  <si>
    <t>CABO DE COBRE FLEXÍVEL ISOLADO, 4 MM², ANTI-CHAMA 0,6/1,0 KV, PARA CIRCUITOS TERMINAIS - FORNECIMENTO E INSTALAÇÃO. AF_12/2015</t>
  </si>
  <si>
    <t>CABO DE COBRE FLEXÍVEL ISOLADO, 6 MM², ANTI-CHAMA 0,6/1,0 KV, PARA CIRCUITOS TERMINAIS - FORNECIMENTO E INSTALAÇÃO. AF_12/2015</t>
  </si>
  <si>
    <t>CABO DE COBRE FLEXÍVEL ISOLADO, 10 MM², ANTI-CHAMA 0,6/1,0 KV, PARA DISTRIBUIÇÃO - FORNECIMENTO E INSTALAÇÃO. AF_12/2015</t>
  </si>
  <si>
    <t>CABO DE COBRE FLEXÍVEL ISOLADO, 16 MM², ANTI-CHAMA 0,6/1,0 KV, PARA DISTRIBUIÇÃO - FORNECIMENTO E INSTALAÇÃO. AF_12/2015</t>
  </si>
  <si>
    <t>CABO DE COBRE FLEXÍVEL ISOLADO, 95 MM², ANTI-CHAMA 0,6/1,0 KV, PARA DISTRIBUIÇÃO - FORNECIMENTO E INSTALAÇÃO. AF_12/2015</t>
  </si>
  <si>
    <t>05.03.103</t>
  </si>
  <si>
    <t>QUADROS ELÉTRICOS E COMPONENTES</t>
  </si>
  <si>
    <t>74130/6_Mod</t>
  </si>
  <si>
    <t>DISJUNTOR TRIPOLAR TERMOMAGNÉTICO - NORMA DIN 125 A</t>
  </si>
  <si>
    <t>74130/8</t>
  </si>
  <si>
    <t>DISJUNTOR TERMOMAGNETICO TRIPOLAR EM CAIXA MOLDADA 300 A 400A 600V, FORNECIMENTO E INSTALACAO</t>
  </si>
  <si>
    <t>QUADRO DE DISTRIBUICAO DE ENERGIA EM CHAPA DE ACO GALVANIZADO, PARA 12 DISJUNTORES TERMOMAGNETICOS MONOPOLARES, COM BARRAMENTO TRIFASICO E NEUTRO - FORNECIMENTO E INSTALACAO</t>
  </si>
  <si>
    <t>HASTE DE ATERRAMENTO 5/8 PARA SPDA - FORNECIMENTO E INSTALAÇÃO. AF_12/2017</t>
  </si>
  <si>
    <t>CORDOALHA DE COBRE NU 50 MM², NÃO ENTERRADA, COM ISOLADOR - FORNECIMENTO E INSTALAÇÃO. AF_12/2017</t>
  </si>
  <si>
    <t>100563_Mod</t>
  </si>
  <si>
    <t>CAIXA METÁLICA DE EMBUTIR, TIPO TR, L=550mm, H=1000mm, P=300mm, PINTURA EPÓXI-PÓ RAL7032 - FORNECIMENTO E INSTALAÇÃO</t>
  </si>
  <si>
    <t>100563_Mod1</t>
  </si>
  <si>
    <t>CAIXA METÁLICA DE EMBUTIR, TIPO P4, L=300mm, H=620mm, P=220mm, PINTURA EPÓXI-PÓ RAL7032 - FORNECIMENTO E INSTALAÇÃO</t>
  </si>
  <si>
    <t>100563_Mod2</t>
  </si>
  <si>
    <t>CAIXA METÁLICA DE EMBUTIR, TIPO B, L=400mm, H=550mm, P=170mm, PINTURA EPÓXI-PÓ RAL7032 - FORNECIMENTO E INSTALAÇÃO</t>
  </si>
  <si>
    <t>100563_Mod3</t>
  </si>
  <si>
    <t>CAIXA METÁLICA DE EMBUTIR, QUADRO DE INCÊNDIO,L=300mm, H=450mm, P=220mm, PINTURA EPÓXI-PÓ RAL7032 - FORNECIMENTO E INSTALAÇÃO</t>
  </si>
  <si>
    <t>100563_Mod4</t>
  </si>
  <si>
    <t>CAIXA METÁLICA DE EMBUTIR, QGBT, L=1,12m, H=1,12m, P=0,3m, PINTURA EPÓXI-PÓ RAL7032 - FORNECIMENTO E INSTALAÇÃO</t>
  </si>
  <si>
    <t>CC.0292</t>
  </si>
  <si>
    <t>FORNECIMENTO E INSTALAÇÃO DE BARRAMENTO EM COBRE 3/16" x 1/8"</t>
  </si>
  <si>
    <t>CC.0293</t>
  </si>
  <si>
    <t>FORNECIMENTO E INSTALAÇÃO DE BARRAMENTO EM COBRE 5/16" x 1/8"</t>
  </si>
  <si>
    <t>CC.0294</t>
  </si>
  <si>
    <t>FORNECIMENTO E INSTALAÇÃO DE BARRAMENTO EM COBRE 3/4" x 1/8"</t>
  </si>
  <si>
    <t>CC.0295</t>
  </si>
  <si>
    <t>FORNECIMENTO E INSTALAÇÃO DE BARRAMENTO EM COBRE 1.1/2" x 1/8"</t>
  </si>
  <si>
    <t>CC.0296</t>
  </si>
  <si>
    <t>FORNECIMENTO E INSTALAÇÃO DE BARRAMENTO EM COBRE 1.1/2" x 1/4"</t>
  </si>
  <si>
    <t>05.03.104</t>
  </si>
  <si>
    <t>83397_Mod</t>
  </si>
  <si>
    <t>POSTE DE CONCRETO CIRCULAR H=11M CARGA NOMINAL 400KG INCLUSIVE ESCAVACAO, EXCLUSIVE TRANSPORTE - FORNECIMENTO E INSTALACAO</t>
  </si>
  <si>
    <t>CORDOALHA DE COBRE NU 35 MM², NÃO ENTERRADA, COM ISOLADOR - FORNECIMENTO E INSTALAÇÃO. AF_12/2017</t>
  </si>
  <si>
    <t>83490_Mod</t>
  </si>
  <si>
    <t>CHAVE FUSÍVEL UNIPOLAR, 15KV – 500A, EQUIPADA COM COMANDO PARA HASTE DE MANOBRA</t>
  </si>
  <si>
    <t>CC.0037</t>
  </si>
  <si>
    <t>CAIXA DE INSPEÇÃO EM ALVENARIA DE TIJOLO MACIÇO DIAMETRO EXTERNO: 180CM, ALTURA, 175CM , TIPO CB2 DA CEB, COM TAMPÃO.</t>
  </si>
  <si>
    <t>CABO DE COBRE FLEXÍVEL ISOLADO, 70 MM², ANTI-CHAMA 0,6/1,0 KV, PARA DISTRIBUIÇÃO - FORNECIMENTO E INSTALAÇÃO. AF_12/2015</t>
  </si>
  <si>
    <t>CC.0223</t>
  </si>
  <si>
    <t>ELETRODUTO DE ACO GALVANIZADO DN 80MM (3") - FORNECIMENTO E INSTALACAO</t>
  </si>
  <si>
    <t>CC.0224</t>
  </si>
  <si>
    <t>PARA-RAIO TP SEM CENTELHADOR - ÓXIDO ZINCO 15kV/10kA - FORNECIMENTO E INSTALAÇÃO</t>
  </si>
  <si>
    <t>CC.0225</t>
  </si>
  <si>
    <t>SUPRESSOR DE SURTO 275V E ICC=45kA - FORNECIMENTO E INSTALAÇÃO</t>
  </si>
  <si>
    <t>CC.0226</t>
  </si>
  <si>
    <t>FUSÍVEL NH 350 A - FORNECIMENTO E INSTALAÇÃO</t>
  </si>
  <si>
    <t>05.03.200</t>
  </si>
  <si>
    <t>ILUMINAÇÃO EXTERNA</t>
  </si>
  <si>
    <t>83478_Mod</t>
  </si>
  <si>
    <t>LUMINÁRIA PÚBLICA DE LED PARA POSTE. 150 W, BRANCO FRIO, BIVOLT, FLUXO LUMINOSO DE NO MÍNIMO 15.000 LÚMENS, ÂNGULO DE FEIXE DE LUZ DE 120º, PROTEÇÃO IP68 - FORNECIMENTO E INSTALAÇÃO</t>
  </si>
  <si>
    <t>CC.0291</t>
  </si>
  <si>
    <t>POSTE DE ACO CONICO CONTINUO RETO, ENGASTADO, H=9M - FORNECIMENTO E INSTALACAO</t>
  </si>
  <si>
    <t>05.03.300</t>
  </si>
  <si>
    <t>CAIXAS DE PASSAGEM</t>
  </si>
  <si>
    <t>06.00.000</t>
  </si>
  <si>
    <t>INSTALAÇÕES MECÂNICAS E DE UTILIDADES</t>
  </si>
  <si>
    <t>06.01.000</t>
  </si>
  <si>
    <t>REDE FRIGORÍGENA</t>
  </si>
  <si>
    <t>TUBO EM COBRE FLEXÍVEL, DN 1/4?, COM ISOLAMENTO, INSTALADO EM RAMAL DE ALIMENTAÇÃO DE AR CONDICIONADO COM CONDENSADORA INDIVIDUAL FORNECIMENTO E INSTALAÇÃO. AF_12/2015</t>
  </si>
  <si>
    <t>TUBO EM COBRE FLEXÍVEL, DN 3/8", COM ISOLAMENTO, INSTALADO EM RAMAL DE ALIMENTAÇÃO DE AR CONDICIONADO COM CONDENSADORA INDIVIDUAL ? FORNECIMENTO E INSTALAÇÃO. AF_12/2015</t>
  </si>
  <si>
    <t>TUBO EM COBRE FLEXÍVEL, DN 5/8", COM ISOLAMENTO, INSTALADO EM RAMAL DE ALIMENTAÇÃO DE AR CONDICIONADO COM CONDENSADORA INDIVIDUAL ? FORNECIMENTO E INSTALAÇÃO. AF_12/2015</t>
  </si>
  <si>
    <t>97330_Mod1</t>
  </si>
  <si>
    <t>TUBO EM COBRE FLEXÍVEL, DN 3/4", COM ISOLAMENTO, INSTALADO EM RAMAL DE ALIMENTAÇÃO DE AR CONDICIONADO COM CONDENSADORA INDIVIDUAL ? FORNECIMENTO E INSTALAÇÃO. AF_12/2015</t>
  </si>
  <si>
    <t>FIXAÇÃO DE TUBOS HORIZONTAIS DE PVC, CPVC OU COBRE DIÂMETROS MAIORES QUE 75 MM COM ABRAÇADEIRA METÁLICA RÍGIDA TIPO D 3" , FIXADA DIRETAMENTE NA LAJE. AF_05/2015</t>
  </si>
  <si>
    <t>06.02.000</t>
  </si>
  <si>
    <t>VENTILAÇÃO FORÇADA</t>
  </si>
  <si>
    <t>CC.0240</t>
  </si>
  <si>
    <t>KIT EXAUSTOR PARA BANHEIRO DIÂMETRO 80mm, INCLUSO TUBULAÇÃO – FORNECIMENTO E INSTALAÇÃO</t>
  </si>
  <si>
    <t>CC.0241</t>
  </si>
  <si>
    <t>KIT EXAUSTOR PARA BANHEIRO DIÂMETRO 150mm, INCLUSO TUBULAÇÃO – FORNECIMENTO E INSTALAÇÃO</t>
  </si>
  <si>
    <t>07.00.000</t>
  </si>
  <si>
    <t>INSTALAÇÕES DE PREVENÇÃO E COMBATE A INCÊNDIO</t>
  </si>
  <si>
    <t>07.01.000</t>
  </si>
  <si>
    <t>SINALIZAÇÃO DE EMERGÊNCIA</t>
  </si>
  <si>
    <t>CC.0023</t>
  </si>
  <si>
    <t>PLACA DE SINALIZAÇÃO DE PROIBIÇÃO - FIGURA 1 NBR 13.434-2/2004 - DIMENSÕES 20 cm X 20 cm</t>
  </si>
  <si>
    <t>CC.0022</t>
  </si>
  <si>
    <t>CC.0048</t>
  </si>
  <si>
    <t>PLACA DE SINALIZAÇÃO DE ORIENTAÇÃO DE SAÍDA (DIREITA OU ESQUERDA) - FIGURAS 12 E 13 NBR 13.434-2/2004 - DIMENSÕES 24cm X 12cm</t>
  </si>
  <si>
    <t>CC.0021</t>
  </si>
  <si>
    <t>PLACA DE SINALIZAÇÃO DE ORIENTAÇÃO E SALVAMENTO - SAÍDA DE EMERGÊNCIA - FIGURA 14 NBR 13.434-2/2004 - DIMENSÕES 24cm X 12cm</t>
  </si>
  <si>
    <t>CC.0050</t>
  </si>
  <si>
    <t>PLACA DE SINALIZAÇÃO DE ORIENTAÇÃO DE ESCADA - FIGURA 16 NBR 13.434-2/2004 - DIMENSÕES 24cm X 12cm</t>
  </si>
  <si>
    <t>CC.0051</t>
  </si>
  <si>
    <t>PLACA DE SINALIZAÇÃO DE ORIENTAÇÃO DE PORTA DE SAÍDA - FIGURA 17 NBR 13.434-2/2004 - DIMENSÕES 24cm X 12cm</t>
  </si>
  <si>
    <t>CC.0056</t>
  </si>
  <si>
    <t>PLACA DE SINALIZAÇÃO DE NÚMERO DE PAVIMENTO - FIGURA 19 NBR 13.434-2/2004 - DIMENSÕES 20cm X 10cm</t>
  </si>
  <si>
    <t>CC.0053</t>
  </si>
  <si>
    <t>PLACA DE SINALIZAÇÃO DOS EXTINTORES - FIGURA 23 NBR 13.434-2/2004 - DIMENSÕES 20cm X 20cm</t>
  </si>
  <si>
    <t>CC.0052</t>
  </si>
  <si>
    <t>PLACA DE SINALIZAÇÃO DOS HIDRANTES DE PAREDE - FIGURA 26 NBR 13.434-2/2004 - DIMENSÕES 20cm X 20cm</t>
  </si>
  <si>
    <t>CC.0020</t>
  </si>
  <si>
    <t>PLACA DE IDENTIFICAÇÃO CONTINUADA DE ROTA DE FUGA - FIGURA 28 NBR 13.434-2/2004 - DIMENSÕES 7 cm X 20 cm</t>
  </si>
  <si>
    <t>07.02.000</t>
  </si>
  <si>
    <t>EXTINTORES DE INCÊNDIO</t>
  </si>
  <si>
    <t>83635_Mod</t>
  </si>
  <si>
    <t>EXTINTOR DE INCÊNDIO TIPO PÓ QUÍMICO ABC - 6 KG - FORNECIMENTO E INSTALAÇÃO</t>
  </si>
  <si>
    <t>07.03.000</t>
  </si>
  <si>
    <t>ILUMINAÇÃO DE EMERGÊNCIA</t>
  </si>
  <si>
    <t>LUMINÁRIA DE EMERGÊNCIA - FORNECIMENTO E INSTALAÇÃO. AF_11/2017</t>
  </si>
  <si>
    <t>97599_Mod</t>
  </si>
  <si>
    <t>LUMINÁRIA DE BALIZAMENTO (SAÍDA/ESCADA), 30 a 60 LÚMENS, 6 LEDS - FORNECIMENTO E INSTALAÇÃO</t>
  </si>
  <si>
    <t>CC.0285</t>
  </si>
  <si>
    <t>07.04.000</t>
  </si>
  <si>
    <t>REDE DE HIDRANTES DE PAREDE</t>
  </si>
  <si>
    <t>96765_Mod</t>
  </si>
  <si>
    <t>ABRIGO PARA HIDRANTE, 90X60X17CM, COM REGISTRO GLOBO ANGULAR 45 GRAUS 2 1/2", ADAPTADOR STORZ 2 1/2", DUAS MANGUEIRAS DE INCÊNDIO 15M, REDUÇÃO 2 1/2 X 1 1/2" E ESGUICHO EM LATÃO 1 1/2" - FORNECIMENTO E INSTALAÇÃO. AF_08/2017</t>
  </si>
  <si>
    <t>CC.0072</t>
  </si>
  <si>
    <t>HIDRANTE DE RECALQUE INCLUINDO CAIXA EM ALVENARIA DE TIJOLOS MACIÇOS ESP. = 0,12M, DIM. INT. = 0.50 X 0.50 X 0.70M, COM TAMPA EM FERRO FUNDIDO 0,50 X 0,50 E FUNDO COM BRITA</t>
  </si>
  <si>
    <t>TUBO DE AÇO GALVANIZADO COM COSTURA, CLASSE MÉDIA, DN 25 (1"), CONEXÃO ROSQUEADA, INSTALADO EM REDE DE ALIMENTAÇÃO PARA HIDRANTE - FORNECIMENTO E INSTALAÇÃO. AF_12/2015</t>
  </si>
  <si>
    <t>TUBO DE AÇO GALVANIZADO COM COSTURA, CLASSE MÉDIA, DN 65 (2 1/2"), CONEXÃO ROSQUEADA, INSTALADO EM REDE DE ALIMENTAÇÃO PARA HIDRANTE - FORNECIMENTO E INSTALAÇÃO. AF_12/2015</t>
  </si>
  <si>
    <t>TUBO DE AÇO GALVANIZADO COM COSTURA, CLASSE MÉDIA, DN 80 (3"), CONEXÃO ROSQUEADA, INSTALADO EM REDE DE ALIMENTAÇÃO PARA HIDRANTE - FORNECIMENTO E INSTALAÇÃO. AF_12/2015</t>
  </si>
  <si>
    <t>JOELHO 90 GRAUS, EM FERRO GALVANIZADO, DN 25 (1"), CONEXÃO ROSQUEADA, INSTALADO EM REDE DE ALIMENTAÇÃO PARA HIDRANTE - FORNECIMENTO E INSTALAÇÃO. AF_12/2015</t>
  </si>
  <si>
    <t>JOELHO 90 GRAUS, EM FERRO GALVANIZADO, DN 65 (2 1/2"), CONEXÃO ROSQUEADA, INSTALADO EM REDE DE ALIMENTAÇÃO PARA HIDRANTE - FORNECIMENTO E INSTALAÇÃO. AF_12/2015</t>
  </si>
  <si>
    <t>JOELHO 90 GRAUS, EM FERRO GALVANIZADO, CONEXÃO ROSQUEADA, DN 80 (3"), INSTALADO EM REDE DE ALIMENTAÇÃO PARA HIDRANTE - FORNECIMENTO E INSTALAÇÃO. AF_12/2015</t>
  </si>
  <si>
    <t>LUVA, EM FERRO GALVANIZADO, DN 65 (2 1/2"), CONEXÃO ROSQUEADA, INSTALADO EM REDE DE ALIMENTAÇÃO PARA HIDRANTE - FORNECIMENTO E INSTALAÇÃO. AF_12/2015</t>
  </si>
  <si>
    <t>NIPLE, EM FERRO GALVANIZADO, DN 65 (2 1/2"), CONEXÃO ROSQUEADA, INSTALADO EM REDE DE ALIMENTAÇÃO PARA HIDRANTE - FORNECIMENTO E INSTALAÇÃO. AF_12/2015</t>
  </si>
  <si>
    <t>TÊ, EM FERRO GALVANIZADO, CONEXÃO ROSQUEADA, DN 65 (2 1/2"), INSTALADO EM REDE DE ALIMENTAÇÃO PARA HIDRANTE - FORNECIMENTO E INSTALAÇÃO. AF_12/2015</t>
  </si>
  <si>
    <t>TÊ, EM FERRO GALVANIZADO, CONEXÃO ROSQUEADA, DN 80 (3"), INSTALADO EM REDE DE ALIMENTAÇÃO PARA HIDRANTE - FORNECIMENTO E INSTALAÇÃO. AF_12/2015</t>
  </si>
  <si>
    <t>CC.0068</t>
  </si>
  <si>
    <t>TÊ DE REDUÇÃO GALV. 3" X 2.1/2"</t>
  </si>
  <si>
    <t>VÁLVULA DE RETENÇÃO VERTICAL, DE BRONZE, ROSCÁVEL, 2" - FORNECIMENTO E INSTALAÇÃO. AF_01/2019</t>
  </si>
  <si>
    <t>VÁLVULA DE RETENÇÃO HORIZONTAL, DE BRONZE, ROSCÁVEL, 1" - FORNECIMENTO E INSTALAÇÃO. AF_01/2019</t>
  </si>
  <si>
    <t>VÁLVULA DE RETENÇÃO HORIZONTAL, DE BRONZE, ROSCÁVEL, 2 1/2" - FORNECIMENTO E INSTALAÇÃO. AF_01/2019</t>
  </si>
  <si>
    <t>VÁLVULA DE RETENÇÃO HORIZONTAL, DE BRONZE, ROSCÁVEL, 3" - FORNECIMENTO E INSTALAÇÃO. AF_01/2019</t>
  </si>
  <si>
    <t>CC.0024</t>
  </si>
  <si>
    <t>FORNECIMENTO E INSTALAÇÃO DE PRESSOSTATO 0 A 4 KGF/CM2</t>
  </si>
  <si>
    <t>07.05.000</t>
  </si>
  <si>
    <t>CENTRAL DE ALARME DE INCÊNDIO</t>
  </si>
  <si>
    <t xml:space="preserve">CAIXA RETANGULAR 4" X 2" MÉDIA (1,30 M DO PISO), PVC, INSTALADA EM PAREDE - FORNECIMENTO E INSTALAÇÃO. AF_12/2015	</t>
  </si>
  <si>
    <t xml:space="preserve">CAIXA RETANGULAR 4" X 4" MÉDIA (1,30 M DO PISO), PVC, INSTALADA EM PAREDE - FORNECIMENTO E INSTALAÇÃO. AF_12/2015	</t>
  </si>
  <si>
    <t>CC.0318</t>
  </si>
  <si>
    <t xml:space="preserve">FORNECIMENTO E INSTALAÇÃO DE ACIONADOR MANUAL DE ALARME </t>
  </si>
  <si>
    <t>CC.0319</t>
  </si>
  <si>
    <t>FORNECIMENTO E INSTALAÇÃO DE SIRENE DE ALARME AUDIOVISUAL</t>
  </si>
  <si>
    <t>CC.0320</t>
  </si>
  <si>
    <t>FORNECIMENTO E INSTALAÇÃO DE PLACA DE SINALIZAÇÃO DE ALARME</t>
  </si>
  <si>
    <t>CC.0321</t>
  </si>
  <si>
    <t>FORNECIMENTO E INSTALAÇÃO DE PLACA DE SINALIZAÇÃO DE SIRENE</t>
  </si>
  <si>
    <t>CC.0322</t>
  </si>
  <si>
    <t>CENTRAL DE ALARME DE INCÊNDIO 6 LAÇOS, ATÉ 20 DISPOSITIVOS/LAÇO - FORNECIMENTO E INSTALAÇÃO</t>
  </si>
  <si>
    <t>ELETRODUTO FLEXÍVEL CORRUGADO, PVC, DN 25 MM (3/4"), PARA CIRCUITOS TERMINAIS, INSTALADO EM PAREDE - FORNECIMENTO E INSTALAÇÃO. AF_12/2015</t>
  </si>
  <si>
    <t>08.00.000</t>
  </si>
  <si>
    <t>IMPERMEABILIZAÇÕES</t>
  </si>
  <si>
    <t>98546_Mod</t>
  </si>
  <si>
    <t>IMPERMEABILIZAÇÃO DE SUPERFÍCIE COM MANTA ASFÁLTICA, UMA CAMADA, INCLUSIVE APLICAÇÃO DE PRIMER ASFÁLTICO, E=4MM. AF_06/2018</t>
  </si>
  <si>
    <t>PROTEÇÃO MECÂNICA DE SUPERFÍCIE HORIZONTAL COM ARGAMASSA DE CIMENTO E AREIA, TRAÇO 1:3, E=2CM. AF_06/2018</t>
  </si>
  <si>
    <t>CC.0286</t>
  </si>
  <si>
    <t>IMPERMEABILIZACAO DE ESTRUTURAS ENTERRADAS, COM TINTA ASFALTICA, DUAS DEMAOS.</t>
  </si>
  <si>
    <t>IMPERMEABILIZAÇÃO DE SUPERFÍCIE COM ARGAMASSA POLIMÉRICA / MEMBRANA ACRÍLICA, 3 DEMÃOS. AF_06/2018</t>
  </si>
  <si>
    <t>CC.0001</t>
  </si>
  <si>
    <t>IMPERMEABILIZAÇÃO DE SUPERFÍCIE COM 02 DEMÃOS DE CIMENTO BICOMPONENTE CRISTALIZANTE, 02 DEMÃOS DE CIMENTO BICOMPONENTE CRISTALIZANTE MODIFICADO COM POLÍMEROS E 02 DEMÃOS DE EMULSÃO ACRÍLICA</t>
  </si>
  <si>
    <t>09.00.000</t>
  </si>
  <si>
    <t>SERVIÇOS COMPLEMENTARES</t>
  </si>
  <si>
    <t>09.01.000</t>
  </si>
  <si>
    <t>LIMPEZA DE OBRAS</t>
  </si>
  <si>
    <t>CC.0174</t>
  </si>
  <si>
    <t>LIMPEZA GERAL</t>
  </si>
  <si>
    <t>10.00.000</t>
  </si>
  <si>
    <t>SERVIÇOS AUXILIARES E ADMINISTRATIVOS</t>
  </si>
  <si>
    <t>10.01.000</t>
  </si>
  <si>
    <t>PESSOAL (ADMINISTRAÇÃO)</t>
  </si>
  <si>
    <t>ALMOXARIFE COM ENCARGOS COMPLEMENTARES</t>
  </si>
  <si>
    <t>ENGENHEIRO CIVIL DE OBRA PLENO COM ENCARGOS COMPLEMENTARES</t>
  </si>
  <si>
    <t>MESTRE DE OBRAS COM ENCARGOS COMPLEMENTARES</t>
  </si>
  <si>
    <t>VIGIA NOTURNO COM ENCARGOS COMPLEMENTARES</t>
  </si>
  <si>
    <t>11.00.000</t>
  </si>
  <si>
    <t>EQUIPAMENTOS</t>
  </si>
  <si>
    <t>11.01.000</t>
  </si>
  <si>
    <t>11.01.100</t>
  </si>
  <si>
    <t>GERAÇÃO DE ENERGIA DE EMERCÊNCIA</t>
  </si>
  <si>
    <t>CC.0297</t>
  </si>
  <si>
    <t>GERADOR DE ENERGIA A DIESEL, TRIFÁSICO, 380V, 15kVA, CABINE SILENCIADA, COM ATS</t>
  </si>
  <si>
    <t>CC.0298</t>
  </si>
  <si>
    <t>NOBREAK 10kVA/8kW, FREQ. 60Hz, TRIFÁSICO, 380V</t>
  </si>
  <si>
    <t>11.01.200</t>
  </si>
  <si>
    <t>TELEFONIA E CABEAMENTO ESTRUTURADO</t>
  </si>
  <si>
    <t>PATCH PANEL 24 PORTAS, CATEGORIA 6 - FORNECIMENTO E INSTALAÇÃO. AF_03/2018</t>
  </si>
  <si>
    <t>CC.0062</t>
  </si>
  <si>
    <t>RACK ABERTO 19” 44U X 470MM – FORNECIMENTO E INSTALAÇÃO</t>
  </si>
  <si>
    <t>CC.0212</t>
  </si>
  <si>
    <t>RÉGUA PARA RACK 19” COM 12 TOMADAS - FORNECIMENTO E INSTALAÇÃO</t>
  </si>
  <si>
    <t>CC.0061</t>
  </si>
  <si>
    <t>SWITCH GERENCIÁVEL 48 PORTAS 10/100/1000MBPS - FORNECIMENTO E INSTALAÇÃO</t>
  </si>
  <si>
    <t>CC.0214</t>
  </si>
  <si>
    <t>SWITCH 24 PORTAS 10/100/1000MBPS - FORNECIMENTO E INSTALAÇÃO</t>
  </si>
  <si>
    <t>CC.0215</t>
  </si>
  <si>
    <t>SWITCH 8 PORTAS 10/100/1000MBPS - FORNECIMENTO E INSTALAÇÃO</t>
  </si>
  <si>
    <t>CC.0216</t>
  </si>
  <si>
    <t>VOICE PANEL, 30 PORTAS, 1U, 19", RJ45, 110IDC</t>
  </si>
  <si>
    <t>11.01.300</t>
  </si>
  <si>
    <t>CC.0028</t>
  </si>
  <si>
    <t>SONOFLETOR DE EMBUTIR – 10W RMS, COM TRAFO DE LINHA 70V/10W – FORNECIMENTO E INSTALAÇAO</t>
  </si>
  <si>
    <t>CC.0031</t>
  </si>
  <si>
    <t>SONOFLETOR DE SOBREPOR TIPO CAIXA SELADA - 40W RMS, COM TRAFO DE LINHA 70V/10W – FORNECIMENTO E INSTALAÇAO</t>
  </si>
  <si>
    <t>CC.0033</t>
  </si>
  <si>
    <t>RECEIVER DE SOM AMBIENTE 600W – 2 X 300 W RMS – ATÉ 80 CAIXAS - FORNECIMENTO E INSTALAÇÃO</t>
  </si>
  <si>
    <t>CC.0035</t>
  </si>
  <si>
    <t>MICROFONE DE MESA (IMPEDÂNCIA DE SAÍDA DE 2 KILO OHMS, SENSIBILIDADE DE 42 Db, RESPOSTA DE FREQUÊNCIA DE 40 Hz A 16 kHz) – FORNECIMENTO E INSTALAÇÃO</t>
  </si>
  <si>
    <t>11.01.400</t>
  </si>
  <si>
    <t>CFTV</t>
  </si>
  <si>
    <t>CC.0157</t>
  </si>
  <si>
    <t>COMPUTADOR INTEL CORE I5 8ª GERAÇÃO, HD 1TB, 8 GB MEMÓRIA RAM, WINDOWS 10, COM MONITOR 19,5”, TECLADO E MOUSE COM FIO, GARANTIA MÍNIMA DE 12 MESES – FORNECIMENTO E INSTALAÇÃO</t>
  </si>
  <si>
    <t>CC.0133</t>
  </si>
  <si>
    <t>GRAVADOR DE VÍDEO NVR 24 CANAIS FULL HD - FORNECIMENTO E INSTALAÇÃO</t>
  </si>
  <si>
    <t>CC.0047</t>
  </si>
  <si>
    <t>CAMERA IP TIPO BULLET Full HD 2 MP – POE FORNECIMENTO E INSTALAÇÃO</t>
  </si>
  <si>
    <t>CC.0045</t>
  </si>
  <si>
    <t>CÂMERA SPEED DOME FULL HD 1080P 30M OU EQUIVALENTE - FORNECIMENTO E INSTALAÇÃO</t>
  </si>
  <si>
    <t>11.01.500</t>
  </si>
  <si>
    <t>73857/4</t>
  </si>
  <si>
    <t>TRANSFORMADOR DISTRIBUICAO 225KVA TRIFASICO 60HZ CLASSE 15KV IMERSO EM ÓLEO MINERAL FORNECIMENTO E INSTALACAO</t>
  </si>
  <si>
    <t>11.02.000</t>
  </si>
  <si>
    <t>11.02.100</t>
  </si>
  <si>
    <t>EQUIPAMENTOS DE CLIMATIZAÇÃO</t>
  </si>
  <si>
    <t>CC.0242</t>
  </si>
  <si>
    <t>CC.0243</t>
  </si>
  <si>
    <t>CC.0244</t>
  </si>
  <si>
    <t>CC.0245</t>
  </si>
  <si>
    <t>CC.0246</t>
  </si>
  <si>
    <t>11.03.000</t>
  </si>
  <si>
    <t>11.05.000</t>
  </si>
  <si>
    <t>CC.0230</t>
  </si>
  <si>
    <t>TOTAL OBRAS + EQUIPAMENTOS SEM BDI</t>
  </si>
  <si>
    <t>TOTAL OBRAS SEM BDI</t>
  </si>
  <si>
    <t>TOTAL EQUIPAMENTOS SEM BDI</t>
  </si>
  <si>
    <t>TOTAL GERAL COM BDI DESONERADO (OBRAS + EQUIPAMENTOS)</t>
  </si>
  <si>
    <t>CENTRO DE OBRAS E MANUTENÇÃO PREDIAL - COMAP</t>
  </si>
  <si>
    <t>C R O N O G R A M A   F Í S I C  O  -  F I N A N C E I R O</t>
  </si>
  <si>
    <t>CORPO DE BOMBEIROS MILITAR DO DISTRITO FEDERAL</t>
  </si>
  <si>
    <t>OBRA :</t>
  </si>
  <si>
    <t>Ref. :</t>
  </si>
  <si>
    <t>LOCAL :</t>
  </si>
  <si>
    <t>BRASÍLIA / DF</t>
  </si>
  <si>
    <t>Data :</t>
  </si>
  <si>
    <t>DISCRIMINACAO</t>
  </si>
  <si>
    <t>MESES</t>
  </si>
  <si>
    <t>11</t>
  </si>
  <si>
    <t>12</t>
  </si>
  <si>
    <t>TOTAIS SIMPLES    (%)</t>
  </si>
  <si>
    <t>TOTAIS ACUMULADOS    (%)</t>
  </si>
  <si>
    <t>TOTAIS SIMPLES    (R$)</t>
  </si>
  <si>
    <t>TOTAIS ACUMULADOS (R$)</t>
  </si>
  <si>
    <t>Quant.</t>
  </si>
  <si>
    <t>Preço                 (R$)</t>
  </si>
  <si>
    <t>Valor                       (R$)</t>
  </si>
  <si>
    <t>TRANSPORTE COM CAMINHÃO BASCULANTE DE 10 M3, EM VIA URBANA PAVIMENTADA, DMT ATÉ                    30 KM (UNIDADE: TXKM). AF_12/2016</t>
  </si>
  <si>
    <t>ESCAVAÇÃO MECANIZADA DE VALA COM PROFUNDIDADE ATÉ 1,5 M (MÉDIA ENTRE MONTANTE E JUSANTE/UMA COMPOSIÇÃO POR TRECHO) COM RETROESCAVADEIRA (CAPACIDADE DA CAÇAMBA             DA RETRO: 0,26 M3 / POTÊNCIA: 88 HP), LARGURA MENOR QUE 0,8 M, EM SOLO DE 1A CATEGORIA, LOCAISCOM BAIXO NÍVEL DE INTERFERÊNCIA. AF_01/2015</t>
  </si>
  <si>
    <t>BOCA DE LOBO EM ALVENARIA TIJOLO MACICO, REVESTIDA COM ARGAMASSA DE CIMENTO E AREIA 1:3, SOBRE LASTRO DE CONCRETO 10CM E TAMPA DE CONCRETO ARMADO</t>
  </si>
  <si>
    <t>TRANSPORTE COM CAMINHÃO BASCULANTE 10 M3 DE MASSA ASFALTICA PARA                        PAVIMENTAÇÃO URBANA</t>
  </si>
  <si>
    <t>ALVENARIA DE VEDAÇÃO DE BLOCOS CERÂMICOS FURADOS NA HORIZONTAL DE 9X19X19CM (ESPESSURA 9CM) DE PAREDES COM ÁREA LÍQUIDA MAIOR OU IGUAL A 6M² SEM VÃOS E             ARGAMASSA DE ASSENTAMENTO COM PREPARO EM BETONEIRA. AF_06/2014</t>
  </si>
  <si>
    <t>PS 80 - PORTA PARA BOX SANITÁRIO TIPO PRANCHETA EM MADEIRA COM REVESTIMENTO            MELAMÍNICO - 80X180CM</t>
  </si>
  <si>
    <t>PCV 80 - PORTA DE CORRER DE VIDRO TEMPERADO, 0,8 X 2,10, ESPESSURA 10 MM, INCLUSIVE ACESSÓRIOS</t>
  </si>
  <si>
    <t>COBERTURA EM POLICARBONATO FUMÊ - INCLUSO ESTRUTURA METÁLICA</t>
  </si>
  <si>
    <t>REVESTIMENTO TIPO PORCELANATO PARA PAREDES INTERNAS COM PLACAS DE DIMENSÕES 30X60CM</t>
  </si>
  <si>
    <t>CONTRAPISO EM ARGAMASSA TRAÇO 1:4 (CIMENTO E AREIA), PREPARO MECÂNICO COM BETONEIRA 400 L, APLICADO EM ÁREAS SECAS SOBRE LAJE, ADERIDO, ESP= 3CM. AF_06/2014</t>
  </si>
  <si>
    <t>PM 160 - KIT DE PORTA DE MADEIRA REVESTIDA EM LAMINADO MELAMINICO CINZA, SEMI-OCA (LEVE OU MÉDIA), PADRÃO MÉDIO, 2 FOLHAS 80X210CM, ESP= DE 3,5CM, ITENS INCLUSOS: DOBRADIÇAS, MONTAGEM E INSTALAÇÃO DO BATENTE, FECHADURA COM EXECUÇÃO DO FURO - FORNECIMENTO</t>
  </si>
  <si>
    <t>JANELA DE CORRER EM ALUMINIO ANODIZADO NA COR BRANCA, VIDRO LAMINADO VERDE 6MM, 4 FOLHAS, FIXAÇÃO COM ARGAMASSA, COM VIDROS, PADRONIZADA. AF_07/2016</t>
  </si>
  <si>
    <t>JANELA DE CORRER EM ALUMINIO ANODIZADO NA COR BRANCA, VIDRO LAMINADO VERDE 6MM, 2 FOLHAS, FIXAÇÃO COM ARGAMASSA, COM VIDROS, PADRONIZADA. AF_07/2016</t>
  </si>
  <si>
    <t>JANELA DE AÇO TIPO BASCULANTE PARA VIDROS, COM BATENTE, FERRAGENS E PINTURA ANTICORROSIVA. EXCLUSIVE VIDROS, ACABAMENTO, ALIZAR E CONTRAMARCO. FORNECIMENTO                       E INSTALAÇÃO. AF_12/2019</t>
  </si>
  <si>
    <t>EMBOÇO OU MASSA ÚNICA EM ARGAMASSA TRAÇO 1:2:8, PREPARO MECÂNICO COM BETONEIRA 400L, APLICADA MANUALMENTE EM PANOS DE FACHADA COM PRESENÇA DE VÃOS, ESPESSURA DE 25MM. AF_06/2014</t>
  </si>
  <si>
    <t>RODAPÉ CERÂMICO DE 15CM DE ALTURA COM PLACAS TIPO ESMALTADA EXTRA DE                           DIMENSÕES 60X60CM</t>
  </si>
  <si>
    <t>SABONETEIRA PLASTICA TIPO DISPENSER PARA SABONETE LIQUIDO COM RESERVATÓRIO                               800 A 1500 ML, INCLUSO FIXAÇÃO. AF_01/2020</t>
  </si>
  <si>
    <t>BOX PARA BANHEIRO EM VIDRO TEMPERADO 8 MM, LISO, INCOLOR, DE CORRER, EM ALUMINÍO          BRANCO, INCLUSIVE FERRAGENS - FORNECIMENTO E INSTALAÇÃO</t>
  </si>
  <si>
    <t>ALVENARIA DE VEDAÇÃO DE BLOCOS CERÂMICOS FURADOS NA HORIZONTAL DE 9X19X19CM (ESPESSURA 9CM) DE PAREDES COM ÁREA LÍQUIDA MAIOR OU IGUAL A 6M² SEM VÃOS E            ARGAMASSA DE ASSENTAMENTO COM PREPARO EM BETONEIRA. AF_06/2014</t>
  </si>
  <si>
    <t>PM 110 - KIT DE PORTA DE MADEIRA REVESTIDA EM LAMINADO MELAMINICO CINZA, SEMI-OCA                     (LEVE OU MÉDIA), PADRÃO MÉDIO, 110X210CM, ESP= DE 3,5CM, ITENS INCLUSOS: DOBRADIÇAS, MONTAGEM E INSTALAÇÃO DO BATENTE, FECHADURA COM EXECUÇÃO DO FURO -                        FORNECIMENTO E INSTALAÇÃO</t>
  </si>
  <si>
    <t>PORTA DE ACO CHAPA 24, DE ENROLAR, RAIADA, LARGA COM ACABAMENTO EM ESMALTE              SINTÉTICO ACETINADO VERMELHO (2 DEMÃOS)</t>
  </si>
  <si>
    <t>MASSA ÚNICA, PARA RECEBIMENTO DE PINTURA, EM ARGAMASSA TRAÇO 1:2:8, PREPARO MECÂNICO COM BETONEIRA 400L, APLICADA MANUALMENTE EM FACES INTERNAS DE PAREDES, ESPESSURA             DE 20MM, COM EXECUÇÃO DE TALISCAS. AF_06/2014</t>
  </si>
  <si>
    <t>SABONETEIRA PLASTICA TIPO DISPENSER PARA SABONETE LIQUIDO COM RESERVATÓRIO                              800 A 1500 ML, INCLUSO FIXAÇÃO. AF_01/2020</t>
  </si>
  <si>
    <t>BOX PARA BANHEIRO EM VIDRO TEMPERADO 8 MM, LISO, INCOLOR, DE CORRER, EM ALUMINÍO             BRANCO, INCLUSIVE FERRAGENS - FORNECIMENTO E INSTALAÇÃO</t>
  </si>
  <si>
    <t>ALAMBRADO EM TUBO DE AÇO INDUSTRIAL DN 2" - CHAPA 13 - MÓDULOS DE 2M x 2M, COM TELA DE ARAME GALVANIZADO LOSANGULAR MALHA 5CM X 5CM COM PROTEÇÃO EXTRA EM ARAME  FARPADO - PADRÃO CBMDF</t>
  </si>
  <si>
    <t>CARGA E DESCARGA MECANIZADAS DE ENTULHO EM CAMINHÃO BASCULANTE 6 M3</t>
  </si>
  <si>
    <t>LASTRO DE CONCRETO MAGRO, APLICADO EM BLOCOS DE COROAMENTO OU SAPATAS,                  ESPESSURA DE 5 CM. AF_08/2017</t>
  </si>
  <si>
    <t>FABRICAÇÃO, MONTAGEM E DESMONTAGEM DE FÔRMA PARA BLOCO DE COROAMENTO, EM MADEIRA SERRADA, ESPESSURA 25 MM, 4 UTILIZAÇÕES. AF_06/2017</t>
  </si>
  <si>
    <t>ARMAÇÃO DE BLOCO, VIGA BALDRAME E SAPATA UTILIZANDO AÇO CA-60 DE 5MM -                        MONTAGEM. AF_06/2017</t>
  </si>
  <si>
    <t>ARMAÇÃO DE BLOCO, VIGA BALDRAME OU SAPATA UTILIZANDO AÇO CA-50 DE 6,3MM -                      MONTAGEM. AF_06/2017</t>
  </si>
  <si>
    <t>ARMAÇÃO DE BLOCO, VIGA BALDRAME OU SAPATA UTILIZANDO AÇO CA-50 DE 8MM -                         MONTAGEM. AF_06/2017</t>
  </si>
  <si>
    <t>ARMAÇÃO DE BLOCO, VIGA BALDRAME OU SAPATA UTILIZANDO AÇO CA-50 DE 10MM -                   MONTAGEM. AF_06/2017</t>
  </si>
  <si>
    <t>ARMAÇÃO DE BLOCO, VIGA BALDRAME OU SAPATA UTILIZANDO AÇO CA-50 DE 12,5MM -              MONTAGEM. AF_06/2017</t>
  </si>
  <si>
    <t>ARMAÇÃO DE BLOCO, VIGA BALDRAME OU SAPATA UTILIZANDO AÇO CA-50 DE 16MM -                 MONTAGEM. AF_06/2017</t>
  </si>
  <si>
    <t>MONTAGEM E DESMONTAGEM DE FÔRMA DE PILARES RETANGULARES E ESTRUTURAS SIMILARES             COM ÁREA MÉDIA DAS SEÇÕES MAIOR QUE 0,25 M², PÉ-DIREITO SIMPLES, EM CHAPA DE MADEIRA COMPENSADA PLASTIFICADA, 18 UTILIZAÇÕES. AF_12/2015</t>
  </si>
  <si>
    <t>ARMAÇÃO DE BLOCO, VIGA BALDRAME OU SAPATA UTILIZANDO AÇO CA-50 DE 6,3 MM            MONTAGEM. AF_06/2017</t>
  </si>
  <si>
    <t>ARMAÇÃO DE BLOCO, VIGA BALDRAME OU SAPATA UTILIZANDO AÇO CA-50 DE 8 MM                       MONTAGEM. AF_06/2017</t>
  </si>
  <si>
    <t>ARMAÇÃO DE BLOCO, VIGA BALDRAME OU SAPATA UTILIZANDO AÇO CA-50 DE 10 MM                  MONTAGEM. AF_06/2017</t>
  </si>
  <si>
    <t>ARMAÇÃO DE BLOCO, VIGA BALDRAME OU SAPATA UTILIZANDO AÇO CA-50 DE 12,5 MM             MONTAGEM. AF_06/2017</t>
  </si>
  <si>
    <t>ARMAÇÃO DE BLOCO, VIGA BALDRAME OU SAPATA UTILIZANDO AÇO CA-50 DE 16 MM                 MONTAGEM. AF_06/2017</t>
  </si>
  <si>
    <t>ARMAÇÃO DE BLOCO, VIGA BALDRAME E SAPATA UTILIZANDO AÇO CA-60 DE 5 MM                      MONTAGEM. AF_06/2017</t>
  </si>
  <si>
    <t>MONTAGEM E DESMONTAGEM DE FÔRMA DE LAJE NERVURADA COM CUBETA COM ÁREA MÉDIA             MAIOR QUE 20 M², PÉ-DIREITO SIMPLES, EM CHAPA DE MADEIRA COMPENSADA RESINADA,                                 18 UTILIZAÇÕES. AF_12/2015</t>
  </si>
  <si>
    <t>CONJUNTO FLUTUANTE DE SUCÇÃO – BOIA MANGUEIRA 2” AQUASAVE OU SIMILAR -                                  FORNECIMENTO E INSTALAÇÃO</t>
  </si>
  <si>
    <t>REALIMENTADOR AUTOMÁTICO, DIÂMETRO 1”, 110/220V – AQUASAVE OU SIMILAR -                       FORNECIMENTO E INSTALAÇÃO</t>
  </si>
  <si>
    <t>TUBO, PVC, SOLDÁVEL, DN 25MM, INSTALADO EM RAMAL DE DISTRIBUIÇÃO DE ÁGUA -           FORNECIMENTO E INSTALAÇÃO. AF_12/2014</t>
  </si>
  <si>
    <t>TUBO, PVC, SOLDÁVEL, DN 20MM, INSTALADO EM RAMAL DE DISTRIBUIÇÃO DE ÁGUA -             FORNECIMENTO E INSTALAÇÃO. AF_12/2014</t>
  </si>
  <si>
    <t>JOELHO 90 GRAUS, PVC, SOLDÁVEL, DN 85MM, INSTALADO EM PRUMADA DE ÁGUA -                   FORNECIMENTO E INSTALAÇÃO. AF_12/2014</t>
  </si>
  <si>
    <t>JOELHO 90 GRAUS, PVC, SOLDÁVEL, DN 60MM, INSTALADO EM PRUMADA DE ÁGUA -                   FORNECIMENTO E INSTALAÇÃO. AF_12/2014</t>
  </si>
  <si>
    <t>JOELHO 90 GRAUS, PVC, SOLDÁVEL, DN 50MM, INSTALADO EM PRUMADA DE ÁGUA -                   FORNECIMENTO E INSTALAÇÃO. AF_12/2014</t>
  </si>
  <si>
    <t>JOELHO 90 GRAUS, PVC, SOLDÁVEL, DN 40MM, INSTALADO EM PRUMADA DE ÁGUA -            FORNECIMENTO E INSTALAÇÃO. AF_12/2014</t>
  </si>
  <si>
    <t>JOELHO 90 GRAUS, PVC, SOLDÁVEL, DN 32MM, INSTALADO EM PRUMADA DE ÁGUA -               FORNECIMENTO E INSTALAÇÃO. AF_12/2014</t>
  </si>
  <si>
    <t>JOELHO 45 GRAUS, PVC, SOLDÁVEL, DN 60MM, INSTALADO EM PRUMADA DE ÁGUA -                  FORNECIMENTO E INSTALAÇÃO. AF_12/2014</t>
  </si>
  <si>
    <t>JOELHO 45 GRAUS, PVC, SOLDÁVEL, DN 50MM, INSTALADO EM PRUMADA DE ÁGUA -                  FORNECIMENTO E INSTALAÇÃO. AF_12/2014</t>
  </si>
  <si>
    <t>JOELHO 45 GRAUS, PVC, SOLDÁVEL, DN 40MM, INSTALADO EM PRUMADA DE ÁGUA -               FORNECIMENTO E INSTALAÇÃO. AF_12/2014</t>
  </si>
  <si>
    <t>JOELHO 45 GRAUS, PVC, SOLDÁVEL, DN 32MM, INSTALADO EM PRUMADA DE ÁGUA -                 FORNECIMENTO E INSTALAÇÃO. AF_12/2014</t>
  </si>
  <si>
    <t>CURVA 45 GRAUS, PVC, SOLDÁVEL, DN 60MM, INSTALADO EM PRUMADA DE ÁGUA -                FORNECIMENTO E INSTALAÇÃO. AF_12/2014</t>
  </si>
  <si>
    <t>CURVA 90 GRAUS, PVC, SOLDÁVEL, DN 60MM, INSTALADO EM PRUMADA DE ÁGUA -                 FORNECIMENTO E INSTALAÇÃO. AF_12/2014</t>
  </si>
  <si>
    <t>TE, PVC, SOLDÁVEL, DN 85MM, INSTALADO EM PRUMADA DE ÁGUA - FORNECIMENTO E                INSTALAÇÃO. AF_12/2014</t>
  </si>
  <si>
    <t>TE, PVC, SOLDÁVEL, DN 60MM, INSTALADO EM PRUMADA DE ÁGUA - FORNECIMENTO E                 INSTALAÇÃO. AF_12/2014</t>
  </si>
  <si>
    <t>TE, PVC, SOLDÁVEL, DN 50MM, INSTALADO EM PRUMADA DE ÁGUA - FORNECIMENTO E                  INSTALAÇÃO. AF_12/2014</t>
  </si>
  <si>
    <t>TE, PVC, SOLDÁVEL, DN 40MM, INSTALADO EM PRUMADA DE ÁGUA - FORNECIMENTO E              INSTALAÇÃO. AF_12/2014</t>
  </si>
  <si>
    <t>TE, PVC, SOLDÁVEL, DN 32MM, INSTALADO EM RAMAL DE DISTRIBUIÇÃO DE ÁGUA -                    FORNECIMENTO E INSTALAÇÃO. AF_12/2014</t>
  </si>
  <si>
    <t>TE, PVC, SOLDÁVEL, DN 25MM, INSTALADO EM RAMAL OU SUB-RAMAL DE ÁGUA -                            FORNECIMENTO E INSTALAÇÃO. AF_12/2014</t>
  </si>
  <si>
    <t>LUVA, PVC, SOLDÁVEL, DN 32MM, INSTALADO EM RAMAL DE DISTRIBUIÇÃO DE ÁGUA -              FORNECIMENTO E INSTALAÇÃO. AF_12/2014</t>
  </si>
  <si>
    <t>LUVA, PVC, SOLDÁVEL, DN 20MM, INSTALADO EM RAMAL OU SUB-RAMAL DE ÁGUA -            FORNECIMENTO E INSTALAÇÃO. AF_12/2014</t>
  </si>
  <si>
    <t>REGISTRO DE GAVETA BRUTO, LATÃO, ROSCÁVEL, 1 1/2?, COM ACABAMENTO E CANOPLA CROMADOS, INSTALADO EM RESERVAÇÃO DE ÁGUA DE EDIFICAÇÃO QUE POSSUA RESERVATÓRIO         DE FIBRA/FIBROCIMENTO ? FORNECIMENTO E INSTALAÇÃO. AF_06/2016</t>
  </si>
  <si>
    <t>REGISTRO DE GAVETA BRUTO, LATÃO, ROSCÁVEL, 3/4", COM ACABAMENTO E CANOPLA              CROMADOS. FORNECIDO E INSTALADO EM RAMAL DE ÁGUA. AF_12/2014</t>
  </si>
  <si>
    <t>REGISTRO DE PRESSÃO BRUTO, LATÃO, ROSCÁVEL, 3/4", COM ACABAMENTO E CANOPLA     CROMADOS. FORNECIDO E INSTALADO EM RAMAL DE ÁGUA. AF_12/2014</t>
  </si>
  <si>
    <t>DUCHA METÁLICA DE PAREDE, ARTICULÁVEL, COM BRAÇO/CANO, SEM DESVIADOR -                  FORNECIMENTO E INSTALAÇÃO</t>
  </si>
  <si>
    <t>GRELHA FF 20X100CM, 135KG, PARA CAIXA RALO COM ASSENTAMENTO DE ARGAMASSA CIMENTO/AREIA 1:4 - FORNECIMENTO E INSTALAÇÃO</t>
  </si>
  <si>
    <t>FILTRO VF6 – COM CAIXA DE CONCRETO PARA INSTALAÇÃO (L = 1,0M; C= 2,0M; PROFUNDIDADE 1,30M – DIMENSÕES INTERNAS - FORNECIMENTO E INSTALAÇÃO</t>
  </si>
  <si>
    <t>BASE EM ALVENARIA ESTRUTURAL FBK=4,5 MPa E LAJE EM CONCRETO PARA SUPORTE CAIXAS D'ÁGUA 1.000L POLIETILENO</t>
  </si>
  <si>
    <t>JOELHO 45 GRAUS, PVC, SERIE NORMAL, ESGOTO PREDIAL, DN 100MM, JUNTA ELÁSTICA, FORNECIDO E INSTALADO EM RAMAL DE DESCARGA OU RAMAL DE ESGOTO SANITÁRIO. AF_12/2014</t>
  </si>
  <si>
    <t>ANUNCIADORES VISUAIS 4x25W CONFECCIONADO EM CAIXA DE MADEIRA FORMICADA BRANCA,               COM FECHAMENTO EM VIDRO</t>
  </si>
  <si>
    <t>PLACA DE SINALIZAÇÃO DE ALERTA - FIGURA 9 NBR 13.434-2/2004 - TRIANGULAR, BASE 14 cm                   A 18 cm</t>
  </si>
  <si>
    <t>CONSTRUÇÃO DE CAIXA SUBTERRÂNEA, EM ALVENARIA DE TIJOLO MACIÇO, CONFORME PROJETO   CEB TIPO CB1, DIMENSÕES 80X80X80CM, COM TAMPA.</t>
  </si>
  <si>
    <t>CAMPAINHA 6" METÁLICA, COROMADO OU ALUMÍNIO ANODIZADO (CAPACIDADE MAIOR IGUAL A 70 Db) E SIRENE COM ALARME ÁUDIO-VISUAL, ALCANCE MAIOR QUE 200m E NÍVEL SONORO MAIOR QUE 90           Db – FORNECIMENTO E INSTALAÇÃO</t>
  </si>
  <si>
    <t>CABO BICOLOR CRISTAL 2X1,50MM PARA SISTEMA DE SONORIZAÇÃO, FORNECIMENTO E INSTALAÇÃO</t>
  </si>
  <si>
    <t>TB - TERRA BRASIL CONSTRUÇÕES E INCPORPORAÇÕES EIRELI-ME</t>
  </si>
  <si>
    <t>CNPJ Nº 12.970.845/0001-99</t>
  </si>
  <si>
    <t>GOVERNO DO DISTRITO FEDERAL</t>
  </si>
  <si>
    <t>COMISSÃO DPERMANENTE DE LICITAÇÃO</t>
  </si>
  <si>
    <t>PROCESSO N.º 00053-00047853/2020-04</t>
  </si>
  <si>
    <t>OBJETO: CONSTRUÇÃO DO 8º GRUPAMENTO DE BOMBEIRO MILITAR (8º GBM)</t>
  </si>
  <si>
    <t>LOCAL: QNM 28, ÁREA ESPECIAL Nº 2 - REGIÃO ADMINISTRATIVA DE CEILÂNDIA-BRASÍLIA/DF.</t>
  </si>
  <si>
    <t>ORÇAMENTO SINTÉTICO</t>
  </si>
  <si>
    <t>Valor                           do Órgão</t>
  </si>
  <si>
    <t>Valor da Empresa</t>
  </si>
  <si>
    <t>Valor do Desconto</t>
  </si>
  <si>
    <t>Percentual Desconto</t>
  </si>
  <si>
    <t>Desconto %</t>
  </si>
  <si>
    <t>Preço                    Unitário     Serviços</t>
  </si>
  <si>
    <t>REGISTRO DE GAVETA BRUTO, LATÃO, ROSCÁVEL, 2 1/2", INSTALADO EM RESERVAÇÃO DE ÁGUA DE EDIFICAÇÃO QUE POSSUA RESERVATÓRIO DE FIBRA/FIBROCIMENTO ? FORNECIMENTO E INSTALAÇÃO. AF_06/2016</t>
  </si>
  <si>
    <t>REGISTRO DE GAVETA BRUTO, LATÃO, ROSCÁVEL, 1", INSTALADO EM RESERVAÇÃO DE ÁGUA DE EDIFICAÇÃO QUE POSSUA RESERVATÓRIO DE FIBRA/FIBROCIMENTO ? FORNECIMENTO E INSTALAÇÃO. AF_06/2016</t>
  </si>
  <si>
    <t>REGISTRO DE GAVETA BRUTO, LATÃO, ROSCÁVEL, 3", INSTALADO EM RESERVAÇÃO DE ÁGUA DE EDIFICAÇÃO QUE POSSUA RESERVATÓRIO DE FIBRA/FIBROCIMENTO ? FORNECIMENTO E INSTALAÇÃO. AF_06/2016</t>
  </si>
  <si>
    <t>MONTAGEM E DESMONTAGEM DE FÔRMA DE VIGA, ESCORAMENTO METÁLICO, PÉ-DIREITO SIMPLES,     EM CHAPA DE MADEIRA PLASTIFICADA, 18 UTILIZAÇÕES. AF_12/2015</t>
  </si>
  <si>
    <t>MONTAGEM E DESMONTAGEM DE FÔRMA DE LAJE NERVURADA COM EPS E ÁREA MÉDIA MAIOR QUE        20 M², PÉ-DIREITO SIMPLES, EM CHAPA DE MADEIRA COMPENSADA PLASTIFICADA, 18 UTILIZAÇÕES. AF_12/2015</t>
  </si>
  <si>
    <t>TELHAMENTO COM TELHA DE AÇO/ALUMÍNIO ESPESSURA DE 0,5 MM, COM ATÉ 2 ÁGUAS,                      INCLUSO IÇAMENTO. AF_07/2019</t>
  </si>
  <si>
    <t>TELHAS POLICARBONATO ALVEOLAR 6MM COM ESTRUTURA METÁLICA GALVANIZADA INSTALADA</t>
  </si>
  <si>
    <t>PINTURA A ÓLEO BRILHANTE SOBRE SUPERFICIE METÁLICA, UMA DEMÃO INCLUSO UMA DEMÃO DE FUNDO ANTICORROSIVO</t>
  </si>
  <si>
    <t>APLICAÇÃO DE TINTA A BASE DE EPÓXI SOBRE PISO</t>
  </si>
  <si>
    <t>PLACA DE IDENTIFICAÇÃO DE AMBIENTES DIM. 35X10CM EM CHAPA METÁLICA GALVANIZADA ESPESSURA 1MM, COM PINTURA AUTOMOTIVA VERMELHA E APLICAÇÃO DE ADESIVOS EM FORMAS GEOMÉTRICAS E TEXTOS NA FONTE ARIAL NA COR BRANCA. FIXAÇÃO EM PAREDES DE ALVENARIA    OU EM PORTAS COM FITA DUPLA FACE.</t>
  </si>
  <si>
    <t>PLACA DE IDENTIFICAÇÃO DE AMBIENTES DIM. 20X30CM EM CHAPA METÁLICA GALVANIZADA ESPESSURA 1MM, COM PINTURA AUTOMOTIVA VERMELHA E APLICAÇÃO DE ADESIVOS EM FORMAS GEOMÉTRICAS E TEXTOS NA FONTE ARIAL NA COR BRANCA. FIXAÇÃO EM PAREDES DE ALVENARIA           OU EM PORTAS COM FITA DUPLA FACE.</t>
  </si>
  <si>
    <t>JOELHO 90 GRAUS, PVC, SOLDÁVEL, DN 25MM, INSTALADO EM PRUMADA DE ÁGUA -                      FORNECIMENTO E INSTALAÇÃO. AF_12/2014</t>
  </si>
  <si>
    <t>VÁLVULA DE RETENÇÃO VERTICAL, DE BRONZE, ROSCÁVEL, 1" - FORNECIMENTO E                         INSTALAÇÃO. AF_01/2019</t>
  </si>
  <si>
    <t>REALIMENTADOR AUTOMÁTICO, DIÂMETRO 3/4", 110/220V, VAZÃOA ATÉ 6m³/h, PRESSÃO MÁXIMA                  DE ENTRADA 100 MMCA, PRESSÃO MÍNIMA DE ENTRADA 7 MCA - FORNECIMENTO E INSTALAÇÃO</t>
  </si>
  <si>
    <t>TE, PVC, SOLDÁVEL, DN 32MM, INSTALADO EM RAMAL DE DISTRIBUIÇÃO DE ÁGUA -                       FORNECIMENTO E INSTALAÇÃO. AF_12/2014</t>
  </si>
  <si>
    <t>LUVA, PVC, SOLDÁVEL, DN 25MM, INSTALADO EM RAMAL OU SUB-RAMAL DE ÁGUA -              FORNECIMENTO E INSTALAÇÃO. AF_12/2014</t>
  </si>
  <si>
    <t>LUVA, PVC, SOLDÁVEL, DN 32MM, INSTALADO EM RAMAL OU SUB-RAMAL DE ÁGUA -                FORNECIMENTO E INSTALAÇÃO. AF_12/2014</t>
  </si>
  <si>
    <t>TÊ, PVC, SOLDÁVEL, DN 40 MM INSTALADO EM RESERVAÇÃO DE ÁGUA DE EDIFICAÇÃO QUE               POSSUA RESERVATÓRIO DE FIBRA/FIBROCIMENTO FORNECIMENTO E INSTALAÇÃO. AF_06/2016</t>
  </si>
  <si>
    <t>REGISTRO DE GAVETA BRUTO, LATÃO, ROSCÁVEL, 1", INSTALADO EM RESERVAÇÃO DE ÁGUA DE EDIFICAÇÃO QUE POSSUA RESERVATÓRIO DE FIBRA/FIBROCIMENTO - FORNECIMENTO E                     INSTALAÇÃO. AF_06/2016</t>
  </si>
  <si>
    <t>REGISTRO DE GAVETA BRUTO, LATÃO, ROSCÁVEL, 1 1/4", INSTALADO EM RESERVAÇÃO DE ÁGUA          DE EDIFICAÇÃO QUE POSSUA RESERVATÓRIO DE FIBRA/FIBROCIMENTO - FORNECIMENTO E                   INSTALAÇÃO. AF_06/2016</t>
  </si>
  <si>
    <t>TE, PVC, SERIE NORMAL, ESGOTO PREDIAL, DN 50 X 50 MM, JUNTA ELÁSTICA, FORNECIDO E   INSTALADO EM RAMAL DE DESCARGA OU RAMAL DE ESGOTO SANITÁRIO. AF_12/2014</t>
  </si>
  <si>
    <t>TE, PVC, SERIE NORMAL, ESGOTO PREDIAL, DN 75 X 75 MM, JUNTA ELÁSTICA, FORNECIDO E   INSTALADO EM RAMAL DE DESCARGA OU RAMAL DE ESGOTO SANITÁRIO. AF_12/2014</t>
  </si>
  <si>
    <t>TE, PVC, SERIE NORMAL, ESGOTO PREDIAL, DN 75 X 50 MM, JUNTA ELÁSTICA, FORNECIDO E   INSTALADO EM RAMAL DE DESCARGA OU RAMAL DE ESGOTO SANITÁRIO. AF_12/2014</t>
  </si>
  <si>
    <t>JOELHO 90 GRAUS, PVC, SERIE NORMAL, ESGOTO PREDIAL, DN 75 MM, JUNTA ELÁSTICA,          FORNECIDO E INSTALADO EM PRUMADA DE ESGOTO SANITÁRIO OU VENTILAÇÃO. AF_12/2014</t>
  </si>
  <si>
    <t>JOELHO 90 GRAUS, PVC, SERIE NORMAL, ESGOTO PREDIAL, DN 50 MM, JUNTA ELÁSTICA,         FORNECIDO E INSTALADO EM PRUMADA DE ESGOTO SANITÁRIO OU VENTILAÇÃO. AF_12/2014</t>
  </si>
  <si>
    <t>JOELHO 45 GRAUS, PVC, SERIE NORMAL, ESGOTO PREDIAL, DN 75 MM, JUNTA ELÁSTICA,       FORNECIDO E INSTALADO EM PRUMADA DE ESGOTO SANITÁRIO OU VENTILAÇÃO. AF_12/2014</t>
  </si>
  <si>
    <t>JOELHO 45 GRAUS, PVC, SERIE NORMAL, ESGOTO PREDIAL, DN 50 MM, JUNTA ELÁSTICA,              FORNECIDO E INSTALADO EM PRUMADA DE ESGOTO SANITÁRIO OU VENTILAÇÃO. AF_12/2014</t>
  </si>
  <si>
    <t>TUBO PVC, SERIE NORMAL, ESGOTO PREDIAL, DN 50MM, FORNECIDO E INSTALADO EM PRUMADA          DE ESGOTO SANITÁRIO OU VENTILAÇÃO. AF_12/2014</t>
  </si>
  <si>
    <t>TUBO PVC, SERIE NORMAL, ESGOTO PREDIAL, DN 75MM, FORNECIDO E INSTALADO EM PRUMADA                     DE ESGOTO SANITÁRIO OU VENTILAÇÃO. AF_12/2014</t>
  </si>
  <si>
    <t>TERMINAL DE VENTILAÇÃO, 50MM, SERIE NORMAL, ESGOTO PREDIAL - FORNECIMENTO E INSTALAÇÃO</t>
  </si>
  <si>
    <t>TERMINAL DE VENTILAÇÃO, 75MM, SERIE NORMAL, ESGOTO PREDIAL - FORNECIMENTO E INSTALAÇÃO</t>
  </si>
  <si>
    <t>REDUÇÃO EXCÊNTRICA, PVC, ESGOTO PREDIAL, DN 75 X 50 MM, JUNTA ELÁSTICA -                      FORNECIMENTO E INSTALAÇÃO</t>
  </si>
  <si>
    <t>JUNÇÃO SIMPLES, PVC, SERIE NORMAL, ESGOTO PREDIAL, DN 50X50MM, JUNTA ELÁSTICA, FORNECIDO E INSTALADO EM RAMAL DE DESCARGA OU RAMAL DE ESGOTO SANITÁRIO. AF_12/2014</t>
  </si>
  <si>
    <t>NIPLE, EM FERRO GALVANIZADO, CONEXÃO ROSQUEADA, DN 15 (1/2"), INSTALADO EM RAMAIS E            SUB-RAMAIS DE GÁS - FORNECIMENTO E INSTALAÇÃO. AF_12/2015</t>
  </si>
  <si>
    <t>INTERRUPTOR INTERMEDIÁRIO (1 MÓDULO), 10A/250V, INCLUINDO SUPORTE E PLACA -            FORNECIMENTO E INSTALAÇÃO. AF_09/2017</t>
  </si>
  <si>
    <t>TOMADA BAIXA DE EMBUTIR (1 MÓDULO), 2P+T 10 A, INCLUINDO SUPORTE E PLACA -               FORNECIMENTO E INSTALAÇÃO. AF_12/2015</t>
  </si>
  <si>
    <t>TOMADA MÉDIA DE EMBUTIR (1 MÓDULO), 2P+T 10 A, INCLUINDO SUPORTE E PLACA -             FORNECIMENTO E INSTALAÇÃO. AF_12/2015</t>
  </si>
  <si>
    <t>TOMADA ALTA DE EMBUTIR (1 MÓDULO), 2P+T 10 A, INCLUINDO SUPORTE E PLACA -              FORNECIMENTO E INSTALAÇÃO. AF_12/2015</t>
  </si>
  <si>
    <t>TOMADA MÉDIA DE EMBUTIR (1 MÓDULO), 2P+T 20 A, INCLUINDO SUPORTE E PLACA -                 FORNECIMENTO E INSTALAÇÃO. AF_12/2015</t>
  </si>
  <si>
    <t>CAIXA RETANGULAR 4" X 2" MÉDIA (1,30 M DO PISO), PVC, INSTALADA EM PAREDE -               FORNECIMENTO E INSTALAÇÃO. AF_12/2015</t>
  </si>
  <si>
    <t>CAIXA RETANGULAR 4" X 2" BAIXA (0,30 M DO PISO), PVC, INSTALADA EM PAREDE -                  FORNECIMENTO E INSTALAÇÃO. AF_12/2015</t>
  </si>
  <si>
    <t>ELETROCALHA PERFURADA EM AÇO GALVANIZADO, LARGURA 100MM E ALTURA 50MM,                          INCLUSIVE TAMPA, EMENDA E FIXAÇÃO - FORNECIMENTO E INSTALAÇÃO</t>
  </si>
  <si>
    <t>LUMINÁRIA CIRCULAR DE EMBUTIR PARA 1 LÂMPADA 18W, CORPO EM ALUMÍNIO INJETADO, PINTURA ELETROSTÁTICA EPÓXI-PÓ NA COR BRANCA, REFLETOR EM ALUMÍNIO ANODIZADO MULTIFACETADO          DE ALTO BRILHO - FORNECIMENTO E INSTALAÇÃO</t>
  </si>
  <si>
    <t>INTERRUPTOR PARALELO (1 MÓDULO), 10A/250V, INCLUINDO SUPORTE E PLACA -                       FORNECIMENTO E INSTALAÇÃO. AF_12/2015</t>
  </si>
  <si>
    <t>INTERRUPTOR PARALELO (2 MÓDULOS), 10A/250V, INCLUINDO SUPORTE E PLACA -                      FORNECIMENTO E INSTALAÇÃO. AF_12/2015</t>
  </si>
  <si>
    <t>INTERRUPTOR PARALELO (3 MÓDULOS), 10A/250V, INCLUINDO SUPORTE E PLACA -                     FORNECIMENTO E INSTALAÇÃO. AF_12/2015</t>
  </si>
  <si>
    <t>FORNECIMENTO E INSTALAÇÃO DE EQUIPAMENTO DE AR- CONDICIONADO TIPO SPLIT HI WALL                  12.000 BTU/h INVERTER, SELO PROCEL A</t>
  </si>
  <si>
    <t>FORNECIMENTO E INSTALAÇÃO DE EQUIPAMENTO DE AR- CONDICIONADO TIPO SPLIT HI WALL                 18.000 BTU/h INVERTER, SELO PROCEL A</t>
  </si>
  <si>
    <t>FORNECIMENTO E INSTALAÇÃO DE EQUIPAMENTO DE AR- CONDICIONADO TIPO SPLIT TETO                         30.000 BTU/h INVERTER, SELO PROCEL A</t>
  </si>
  <si>
    <t>FORNECIMENTO E INSTALAÇÃO DE EQUIPAMENTO DE AR- CONDICIONADO TIPO SPLIT CASSETE               18.500 BTU/h INVERTER, SELO PROCEL A</t>
  </si>
  <si>
    <t>FORNECIMENTO E INSTALAÇÃO DE EQUIPAMENTO DE AR- CONDICIONADO TIPO SPLIT CASSETE                       36.000 BTU/h INVERTER, SELO PROCEL A</t>
  </si>
  <si>
    <t>TB - TERRA BRASIL CONSTRUÇÕES E INCORPORAÇÕES EIRELI-ME</t>
  </si>
  <si>
    <t xml:space="preserve">TAXA              % </t>
  </si>
  <si>
    <t xml:space="preserve">TAXA                     % </t>
  </si>
  <si>
    <t>MEMÓRIA DE CÁLCULO DO BDI - EQUIPAMENTOS</t>
  </si>
  <si>
    <t>TOTAL SERVIÇO            C/BDI</t>
  </si>
  <si>
    <t>BDI OBRA:</t>
  </si>
  <si>
    <t>BDI EQUIPAMENTOS:</t>
  </si>
  <si>
    <t>SINAPI - 12/2020-DES.</t>
  </si>
  <si>
    <t>RDC ELETRÔNICO 08.2020, ABERTURA DIA 14.04.2021 ÀS 14:00 HORAS</t>
  </si>
  <si>
    <t>TRANSPORTE COM CAMINHÃO BASCULANTE DE 10 M3, EM VIA URBANA PAVIMENTADA, DMT                      ATÉ 30 KM (UNIDADE: TXKM). AF_12/2016</t>
  </si>
  <si>
    <t>ESCAVACAO E CARGA MATERIAL 1A CATEGORIA, UTILIZANDO TRATOR DE ESTEIRAS DE 110 A                   160HP COM LAMINA, PESO OPERACIONAL * 13T E PA CARREGADEIRA COM 170 HP.</t>
  </si>
  <si>
    <t>ESCAVAÇÃO MECANIZADA DE VALA COM PROFUNDIDADE ATÉ 1,5 M (MÉDIA ENTRE MONTANTE E JUSANTE/UMA COMPOSIÇÃO POR TRECHO) COM RETROESCAVADEIRA (CAPACIDADE DA CAÇAMBA   DA RETRO: 0,26 M3 / POTÊNCIA: 88 HP), LARGURA DE 0,8 M A 1,5 M, EM SOLO DE 1A CATEGORIA, LOCAISCOM BAIXO NÍVEL DE INTERFERÊNCIA. AF_01/2015</t>
  </si>
  <si>
    <t>DEMOLIÇÃO PARCIAL DE PAVIMENTO ASFÁLTICO, DE FORMA MECANIZADA,                                                           SEM REAPROVEITAMENTO. AF_12/2017</t>
  </si>
  <si>
    <t>TRANSPORTE COM CAMINHÃO BASCULANTE 10 M3 DE MASSA ASFALTICA PARA                         PAVIMENTAÇÃO URBANA</t>
  </si>
  <si>
    <t>REGULARIZAÇÃO E COMPACTAÇÃO DE SUBLEITO DE SOLO PREDOMINANTEMENTE                                ARGILOSO. AF_11/2019</t>
  </si>
  <si>
    <t>ESCAVACAO E CARGA MATERIAL 1A CATEGORIA, UTILIZANDO TRATOR DE ESTEIRAS DE 110 A                 160HP COM LAMINA, PESO OPERACIONAL * 13T E PA CARREGADEIRA COM 170 HP.</t>
  </si>
  <si>
    <t>CONSTRUÇÃO DE PAVIMENTO COM APLICAÇÃO DE CONCRETO BETUMINOSO USINADO A QUENTE (CBUQ), CAMADA DE ROLAMENTO, COM ESP= DE 6,0CM - EXCLUS. E TRANSPORTE. AF_03/2017</t>
  </si>
  <si>
    <t>DEMOLIÇÃO DE REVESTIMENTO CERÂMICO, DE FORMA MECANIZADA COM MARTELETE, SEM REAPROVEITAMENTO AF_12/2017</t>
  </si>
  <si>
    <t>ESTACA HÉLICE CONTÍNUA, DIÂMETRO DE 40 CM, INCLUSO CONCRRETO FCK=30MPA</t>
  </si>
  <si>
    <t>100651_Mod1</t>
  </si>
  <si>
    <t>100652_Mod2</t>
  </si>
  <si>
    <t>ESTACA HÉLICE CONTÍNUA, DIÂMETRO DE 50 CM, INCLUSO CONCRRETO FCK=30MPA</t>
  </si>
  <si>
    <t>TRANSPORTE COM CAMINHÃO BASCULANTE DE 10 M3, EM VIA URBANA PAVIMENTADA,                                 DMT ATÉ 30 KM (UNIDADE: TXKM). AF_12/2016</t>
  </si>
  <si>
    <t>PINTURA ESMALTE ACETINADO, DUAS DEMÃOS, SOBRE SUPERFICIE METÁLICA</t>
  </si>
  <si>
    <t>COBOGÓ 40 X 40 X 7 CM, QUADRICULADO, 16 FUROS - FORNECIMENTO E ASSENTAMENTO</t>
  </si>
  <si>
    <t>90796_Mod1</t>
  </si>
  <si>
    <t>KIT DE PORTA DE MADEIRA REVESTIDA EM ACABAMENTO LAMINADO MELAMINICO, COM VISOR EM VIDRO COMUM 6MM 30 x 40 CM, FOLHA LEVE OU MÉDIA, E BATENTE METÁLICO, 80X210CM, FIXAÇÃO COM ARGAMASSA - FORNECIMENTO E INSTALAÇÃO.</t>
  </si>
  <si>
    <t>90796_Mod</t>
  </si>
  <si>
    <t>KIT DE PORTA-PRONTA DE MADEIRA EM ACABAMENTO MELAMINICO BRANCO, FOLHA LEVE OU MÉDIA,   E BATENTE METÁLICO, 80 X 210 CM, FIXAÇÃO COM ARGAMASSA - FORNECIMENTO E                     INSTALAÇÃO. AF_12/2019</t>
  </si>
  <si>
    <t>KIT DE PORTA-PRONTA DE MADEIRA EM ACABAMENTO MELAMINICO BRANCO, FOLHA LEVE OU MÉDIA,   E BATENTE METÁLICO, 90 X 210 CM, FIXAÇÃO COM ARGAMASSA - FORNECIMENTO E                      INSTALAÇÃO. AF_12/2019</t>
  </si>
  <si>
    <t>79498/001</t>
  </si>
  <si>
    <t>SINAPI-ATUAL</t>
  </si>
  <si>
    <t>90796_Mod2</t>
  </si>
  <si>
    <t>KIT DE PORTA-PRONTA DE MADEIRA EM ACABAMENTO MELAMINICO BRANCO, FOLHA LEVE OU MÉDIA,   E BATENTE METÁLICO, 70 X 210 CM, FIXAÇÃO COM ARGAMASSA - FORNECIMENTO E                     INSTALAÇÃO. AF_12/2019</t>
  </si>
  <si>
    <t>BOMBA CENTRIFUGA TRIFÁSICA, 1 CV OU 0,99 HP, HM 14 À 40 M, Q, 0,6 A 8,4 ME/H - FORNECIMENTO E INSTALAÇÃO. AF_12/2020</t>
  </si>
  <si>
    <t>CAIXA DE GORDURA DUPLA, (CAPACIDADE: 126 L), RETANGULAR, EM ALVENARIA COM BLOCOS DE CONCRETO, DIMENSÕES INTERNAS = 0,40 X 0,70M ALTURA INTERNA = 0,8 M. AF_12/2020</t>
  </si>
  <si>
    <t>DISJUNTOR TERMOMAGNETICO TRIPOLAR, CORRENTE NOMINAL 125A - FORNECIMENTO E INSTALAÇÃO</t>
  </si>
  <si>
    <t>QUADRO DE DISTRIBUICAO DE ENERGIA EM CHAPA GALVANIZADO, DE EMBUTIR, COM BARRAMENTO TRIFÁSICO, PARA 40 DISJUNTORES DIN 100A - FORNECIMENTO E INSTALAÇÃO.</t>
  </si>
  <si>
    <t>QUADRO DE DISTRIBUICAO DE ENERGIA EM CHAPA GALVANIZADO, DE EMBUTIR, COM BARRAMENTO TRIFÁSICO, PARA 30 DISJUNTORES DIN 150A - FORNECIMENTO E INSTALAÇÃO. AF_10/2020</t>
  </si>
  <si>
    <t>QUADRO DE DISTRIBUICAO DE ENERGIA EM CHAPA GALVANIZADO, DE EMBUTIR, COM BARRAMENTO TRIFÁSICO, PARA 40 DISJUNTORES DIN 100A - FORNECIMENTO E INSTALAÇÃO. AF_10/2020</t>
  </si>
  <si>
    <t>QUADRO DE DISTRIBUICAO DE ENERGIA EM CHAPA GALVANIZADO, DE EMBUTIR, COM BARRAMENTO TRIFÁSICO, PARA 24 DISJUNTORES DIN 100A - FORNECIMENTO E INSTALAÇÃO. AF_10/2020</t>
  </si>
  <si>
    <t>SUPORTE PARA TRANSFORMADOR EM POSTE DE CONCRETO CIRCULAR - FORNEC. E INSTALAÇÃO</t>
  </si>
  <si>
    <t>ISOLADOR, TIPO DISCO, PARA TENSÃO 15 KV - FORNECIMENTO E INSTALACAO. AF_07/2020</t>
  </si>
  <si>
    <t>DISJUNTOR TERMOMAGNETICO TRIPOLAR, CORENTE NOMINAL 400A - FORNECIMENTO E INSTALACAO. AF_10/2020</t>
  </si>
  <si>
    <t>CAIXA ENTERRADA ELÉTRICA RETANGULAR, EM ALVENARIA COM TIJOLOS CERÂMICOS MACIÇOS, FUNDO COM BRITA, DIMENSÕES INTERNAS: 0,3 X 0,3 X 0,3 M. AF_12/2020</t>
  </si>
  <si>
    <t>EXTINTOR INCENDIO PORTÁTIL COM CARGA DE CO2 DE 4KG CLASSE BC - FORNEC. E INSTALACAO</t>
  </si>
  <si>
    <t>MANOMETRO 0 A 200 PSI (0 A 14 KGF/CM2), D = 50MM - FORNECIMENTO E COLOCAÇÃO. AF_10/2020</t>
  </si>
  <si>
    <t>88326_Mod</t>
  </si>
  <si>
    <t>MÊS</t>
  </si>
  <si>
    <t>BOMBA CENTRÍFUGA, TRIFÁSICA, 3 CV OU 2,96 HP, HM 34 A 40 M, Q 8,6 A 14,8 M3/H -                        FORNECIMENTO E INSTALAÇÃO. AF_12/2020</t>
  </si>
  <si>
    <t>BOMBA CENTRÍFUGA, TRIFÁSICA, 1 CV OU 0,99 HP, HM 14 A 40 M, Q 0,6 A 8,4 M3/H - FORNECIMENTO E INSTALAÇÃO. AF_12/2020</t>
  </si>
  <si>
    <t>KIT AUTOMATIZADOR PARA PORTA DE CORRER 2 FOLHAS - 4000 A 5000 CICLOS POR DIA - POT. 75W - 1 FOLHA 90KG - 2 FOLHAS 140kg - FORNECIMENTO E INSTALAÇÃO</t>
  </si>
  <si>
    <t>TOTAL OBRAS COM BDI DESONERADO ( OBRAS 20,36% )</t>
  </si>
  <si>
    <t>TOTAL EQUIPAMENTOS COM BDI DESONERADO ( EQUIPAMENTOS 11,10% )</t>
  </si>
  <si>
    <t>Importa o Valor de R$ 5.404.940,06 (Cinco Milhões, Quatrocentos e Quatro Mil, Novecentos e Quarenta Reais, e Seis Centavos).</t>
  </si>
  <si>
    <t>PROCURADOR E REPRESENTANTE LEGAL</t>
  </si>
  <si>
    <t>ORÇAMENTISTA  - ROBERVAL SILVA SOUZA</t>
  </si>
  <si>
    <t>CPF Nº 229.493.805-49</t>
  </si>
  <si>
    <t>ORÇAMENTISTA - ROBERVAL SOUZA SILVA</t>
  </si>
  <si>
    <t>ARMAÇÃO DE BLOCO, VIGA BALDRAME E SAPATA UTILIZANDO AÇO CA-60 DE 5 MM -                       MONTAGEM. AF_06/2017</t>
  </si>
  <si>
    <t>ARMAÇÃO DE BLOCO, VIGA BALDRAME OU SAPATA UTILIZANDO AÇO CA-50 DE 6,3 MM -                       MONTAGEM. AF_06/2017</t>
  </si>
  <si>
    <t>ARMAÇÃO DE BLOCO, VIGA BALDRAME OU SAPATA UTILIZANDO AÇO CA-50 DE 8 MM -                        MONTAGEM. AF_06/2017</t>
  </si>
  <si>
    <t>ARMAÇÃO DE BLOCO, VIGA BALDRAME OU SAPATA UTILIZANDO AÇO CA-50 DE 10 MM -                     MONTAGEM. AF_06/2017</t>
  </si>
  <si>
    <t>ARMAÇÃO DE BLOCO, VIGA BALDRAME OU SAPATA UTILIZANDO AÇO CA-50 DE 12,5 MM -                  MONTAGEM. AF_06/2017</t>
  </si>
  <si>
    <t>ARMAÇÃO DE BLOCO, VIGA BALDRAME OU SAPATA UTILIZANDO AÇO CA-50 DE 16 MM -                      MONTAGEM. AF_06/2017</t>
  </si>
  <si>
    <t>TUBO, PVC, SOLDÁVEL, DN 25MM, INSTALADO EM RAMAL DE DISTRIBUIÇÃO DE ÁGUA -               FORNECIMENTO E INSTALAÇÃO. AF_12/2014</t>
  </si>
  <si>
    <t>JOELHO 90 GRAUS, PVC, SOLDÁVEL, DN 50MM, INSTALADO EM PRUMADA DE ÁGUA -                  FORNECIMENTO E INSTALAÇÃO. AF_12/2014</t>
  </si>
  <si>
    <t>JOELHO 90 GRAUS, PVC, SOLDÁVEL, DN 32MM, INSTALADO EM PRUMADA DE ÁGUA -                  FORNECIMENTO E INSTALAÇÃO. AF_12/2014</t>
  </si>
  <si>
    <t>JOELHO 45 GRAUS, PVC, SOLDÁVEL, DN 50MM, INSTALADO EM PRUMADA DE ÁGUA -               FORNECIMENTO E INSTALAÇÃO. AF_12/2014</t>
  </si>
  <si>
    <t>TE, PVC, SOLDÁVEL, DN 50MM, INSTALADO EM PRUMADA DE ÁGUA - FORNECIMENTO E                    INSTALAÇÃO. AF_12/2014</t>
  </si>
  <si>
    <t>TE, PVC, SOLDÁVEL, DN 25MM, INSTALADO EM RAMAL OU SUB-RAMAL DE ÁGUA -                             FORNECIMENTO E INSTALAÇÃO. AF_12/2014</t>
  </si>
  <si>
    <t>BDI SERVIÇOS: 20,36%</t>
  </si>
  <si>
    <t>BDI EQUIPAMENTOS: 11,10%</t>
  </si>
  <si>
    <t>LEIS SOCIAIS HORISTA: 113,69%</t>
  </si>
  <si>
    <t>LEIS SOCIAIS MENSALISTA: 73,06%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</si>
</sst>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.0%"/>
    <numFmt numFmtId="166" formatCode="d/m/yyyy"/>
    <numFmt numFmtId="167" formatCode="0.000%"/>
    <numFmt numFmtId="168" formatCode="_-&quot;R$ &quot;* #,##0.00_-;&quot;-R$ &quot;* #,##0.00_-;_-&quot;R$ &quot;* \-??_-;_-@_-"/>
    <numFmt numFmtId="169" formatCode="_(* #,##0.00_);_(* \(#,##0.00\);_(* &quot;&quot;??_);_(@_)"/>
    <numFmt numFmtId="170" formatCode="#,##0.0000"/>
    <numFmt numFmtId="171" formatCode="0.0000%"/>
  </numFmts>
  <fonts count="46">
    <font>
      <sz val="11"/>
      <color rgb="FF000000"/>
      <name val="Arial"/>
      <charset val="1"/>
    </font>
    <font>
      <b/>
      <sz val="12"/>
      <color rgb="FF000000"/>
      <name val="V"/>
      <charset val="1"/>
    </font>
    <font>
      <b/>
      <sz val="11"/>
      <color rgb="FF000000"/>
      <name val="Lucida Sans Unicode"/>
      <family val="2"/>
      <charset val="1"/>
    </font>
    <font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5"/>
      <color rgb="FF000000"/>
      <name val="Verdana"/>
      <family val="2"/>
      <charset val="1"/>
    </font>
    <font>
      <b/>
      <sz val="13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i/>
      <sz val="11"/>
      <color rgb="FF7F7F7F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b/>
      <sz val="13"/>
      <name val="Calibri"/>
      <family val="2"/>
      <charset val="1"/>
    </font>
    <font>
      <b/>
      <sz val="1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Verdana"/>
      <family val="2"/>
      <charset val="1"/>
    </font>
    <font>
      <sz val="8"/>
      <color rgb="FF000000"/>
      <name val="Arial"/>
      <family val="2"/>
    </font>
    <font>
      <b/>
      <sz val="9"/>
      <color rgb="FF000000"/>
      <name val="Arial Black"/>
      <family val="2"/>
    </font>
    <font>
      <b/>
      <sz val="8"/>
      <color rgb="FF000000"/>
      <name val="Arial Black"/>
      <family val="2"/>
    </font>
    <font>
      <sz val="8"/>
      <color rgb="FF000000"/>
      <name val="Arial Black"/>
      <family val="2"/>
    </font>
    <font>
      <sz val="9"/>
      <color rgb="FF000000"/>
      <name val="Arial Black"/>
      <family val="2"/>
    </font>
    <font>
      <sz val="10"/>
      <color rgb="FF000000"/>
      <name val="Arial Black"/>
      <family val="2"/>
    </font>
    <font>
      <sz val="11"/>
      <color rgb="FF000000"/>
      <name val="Arial Black"/>
      <family val="2"/>
    </font>
    <font>
      <b/>
      <sz val="10"/>
      <color rgb="FF000000"/>
      <name val="Arial Black"/>
      <family val="2"/>
    </font>
    <font>
      <sz val="10"/>
      <color rgb="FF000000"/>
      <name val="Arial"/>
      <family val="2"/>
    </font>
    <font>
      <sz val="10"/>
      <name val="Arial Black"/>
      <family val="2"/>
    </font>
    <font>
      <sz val="10"/>
      <color theme="1"/>
      <name val="Arial Black"/>
      <family val="2"/>
    </font>
    <font>
      <sz val="9"/>
      <name val="Arial Black"/>
      <family val="2"/>
    </font>
    <font>
      <sz val="9"/>
      <color rgb="FFFF0000"/>
      <name val="Arial Black"/>
      <family val="2"/>
    </font>
    <font>
      <sz val="9"/>
      <color rgb="FFFFFF00"/>
      <name val="Arial Black"/>
      <family val="2"/>
    </font>
    <font>
      <b/>
      <sz val="11"/>
      <color rgb="FF0070C0"/>
      <name val="Arial Black"/>
      <family val="2"/>
    </font>
    <font>
      <sz val="11"/>
      <color rgb="FFFF0000"/>
      <name val="Arial Black"/>
      <family val="2"/>
    </font>
    <font>
      <sz val="9"/>
      <color rgb="FF000000"/>
      <name val="Arial"/>
      <family val="2"/>
      <charset val="1"/>
    </font>
    <font>
      <sz val="9"/>
      <color rgb="FF000000"/>
      <name val="Arial"/>
      <family val="2"/>
    </font>
    <font>
      <b/>
      <sz val="9"/>
      <name val="Arial Black"/>
      <family val="2"/>
    </font>
    <font>
      <b/>
      <sz val="10"/>
      <name val="Arial Black"/>
      <family val="2"/>
    </font>
    <font>
      <b/>
      <sz val="8"/>
      <name val="Arial Black"/>
      <family val="2"/>
    </font>
    <font>
      <sz val="9"/>
      <color rgb="FF000000"/>
      <name val="Verdana"/>
      <family val="2"/>
      <charset val="1"/>
    </font>
    <font>
      <sz val="11"/>
      <color rgb="FF000000"/>
      <name val="Arial"/>
      <family val="2"/>
    </font>
    <font>
      <b/>
      <sz val="12"/>
      <name val="Arial Black"/>
      <family val="2"/>
    </font>
    <font>
      <sz val="12"/>
      <color rgb="FF000000"/>
      <name val="Arial Black"/>
      <family val="2"/>
    </font>
    <font>
      <b/>
      <sz val="11"/>
      <name val="Arial Black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FB219"/>
        <bgColor rgb="FF269900"/>
      </patternFill>
    </fill>
    <fill>
      <patternFill patternType="solid">
        <fgColor rgb="FF58CB32"/>
        <bgColor rgb="FF71E44B"/>
      </patternFill>
    </fill>
    <fill>
      <patternFill patternType="solid">
        <fgColor rgb="FF71E44B"/>
        <bgColor rgb="FF8AFD64"/>
      </patternFill>
    </fill>
    <fill>
      <patternFill patternType="solid">
        <fgColor rgb="FF8AFD64"/>
        <bgColor rgb="FFA3FF7D"/>
      </patternFill>
    </fill>
    <fill>
      <patternFill patternType="solid">
        <fgColor rgb="FFA3FF7D"/>
        <bgColor rgb="FFBCFF96"/>
      </patternFill>
    </fill>
    <fill>
      <patternFill patternType="solid">
        <fgColor rgb="FFBCFF96"/>
        <bgColor rgb="FFA3FF7D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3FB219"/>
      </patternFill>
    </fill>
    <fill>
      <patternFill patternType="solid">
        <fgColor theme="0"/>
        <bgColor rgb="FF269900"/>
      </patternFill>
    </fill>
    <fill>
      <patternFill patternType="solid">
        <fgColor theme="0"/>
        <bgColor rgb="FF71E44B"/>
      </patternFill>
    </fill>
    <fill>
      <patternFill patternType="solid">
        <fgColor theme="0"/>
        <bgColor rgb="FF8AFD64"/>
      </patternFill>
    </fill>
    <fill>
      <patternFill patternType="lightGray">
        <fgColor rgb="FFF2F2F2"/>
        <bgColor theme="0" tint="-0.249977111117893"/>
      </patternFill>
    </fill>
    <fill>
      <patternFill patternType="solid">
        <fgColor rgb="FFFFFF00"/>
        <bgColor rgb="FFA3FF7D"/>
      </patternFill>
    </fill>
    <fill>
      <patternFill patternType="solid">
        <fgColor rgb="FFFFFF00"/>
        <bgColor rgb="FFBCFF96"/>
      </patternFill>
    </fill>
    <fill>
      <patternFill patternType="solid">
        <fgColor rgb="FFFFFF00"/>
        <bgColor rgb="FF8AFD64"/>
      </patternFill>
    </fill>
    <fill>
      <patternFill patternType="solid">
        <fgColor rgb="FFFFFF00"/>
        <bgColor rgb="FF71E44B"/>
      </patternFill>
    </fill>
    <fill>
      <patternFill patternType="solid">
        <fgColor rgb="FF00B0F0"/>
        <bgColor rgb="FF3FB219"/>
      </patternFill>
    </fill>
    <fill>
      <patternFill patternType="solid">
        <fgColor rgb="FF00B050"/>
        <bgColor rgb="FF3FB219"/>
      </patternFill>
    </fill>
    <fill>
      <patternFill patternType="solid">
        <fgColor rgb="FFFFC000"/>
        <bgColor rgb="FF3FB219"/>
      </patternFill>
    </fill>
    <fill>
      <patternFill patternType="solid">
        <fgColor rgb="FFFF0000"/>
        <bgColor rgb="FF3FB219"/>
      </patternFill>
    </fill>
    <fill>
      <patternFill patternType="solid">
        <fgColor rgb="FFFFFF00"/>
        <bgColor rgb="FF269900"/>
      </patternFill>
    </fill>
    <fill>
      <patternFill patternType="solid">
        <fgColor rgb="FF00B0F0"/>
        <bgColor rgb="FFBCFF96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A6A6A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</fills>
  <borders count="5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168" fontId="6" fillId="0" borderId="0" applyBorder="0" applyProtection="0"/>
    <xf numFmtId="9" fontId="3" fillId="0" borderId="0" applyBorder="0" applyProtection="0"/>
    <xf numFmtId="0" fontId="11" fillId="0" borderId="0" applyBorder="0" applyProtection="0"/>
  </cellStyleXfs>
  <cellXfs count="781">
    <xf numFmtId="0" fontId="0" fillId="0" borderId="0" xfId="0"/>
    <xf numFmtId="0" fontId="0" fillId="0" borderId="0" xfId="0" applyAlignment="1">
      <alignment horizontal="left" vertical="center"/>
    </xf>
    <xf numFmtId="10" fontId="5" fillId="0" borderId="0" xfId="0" applyNumberFormat="1" applyFont="1" applyBorder="1" applyAlignment="1" applyProtection="1">
      <alignment horizontal="center" vertical="center"/>
    </xf>
    <xf numFmtId="10" fontId="6" fillId="0" borderId="0" xfId="0" applyNumberFormat="1" applyFont="1" applyBorder="1" applyAlignment="1" applyProtection="1">
      <alignment horizontal="center"/>
    </xf>
    <xf numFmtId="10" fontId="6" fillId="0" borderId="0" xfId="0" applyNumberFormat="1" applyFont="1" applyBorder="1" applyAlignment="1" applyProtection="1">
      <alignment horizontal="center" vertical="center"/>
    </xf>
    <xf numFmtId="164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5" fillId="0" borderId="0" xfId="0" applyNumberFormat="1" applyFont="1" applyBorder="1" applyAlignment="1">
      <alignment wrapText="1"/>
    </xf>
    <xf numFmtId="164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" fontId="8" fillId="2" borderId="0" xfId="0" applyNumberFormat="1" applyFont="1" applyFill="1"/>
    <xf numFmtId="0" fontId="7" fillId="0" borderId="0" xfId="0" applyFont="1"/>
    <xf numFmtId="0" fontId="12" fillId="0" borderId="0" xfId="3" applyFont="1" applyBorder="1" applyAlignment="1" applyProtection="1">
      <alignment vertical="center"/>
      <protection hidden="1"/>
    </xf>
    <xf numFmtId="0" fontId="15" fillId="0" borderId="0" xfId="3" applyFont="1" applyBorder="1" applyAlignment="1" applyProtection="1">
      <alignment horizontal="left" vertical="center" wrapText="1"/>
    </xf>
    <xf numFmtId="0" fontId="15" fillId="0" borderId="0" xfId="3" applyFont="1" applyBorder="1" applyAlignment="1" applyProtection="1">
      <alignment horizontal="left" vertical="center"/>
    </xf>
    <xf numFmtId="0" fontId="16" fillId="0" borderId="0" xfId="3" applyFont="1" applyBorder="1" applyAlignment="1" applyProtection="1">
      <protection hidden="1"/>
    </xf>
    <xf numFmtId="10" fontId="12" fillId="0" borderId="0" xfId="3" applyNumberFormat="1" applyFont="1" applyBorder="1" applyAlignment="1" applyProtection="1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0" xfId="0" applyBorder="1" applyAlignment="1">
      <alignment horizontal="center"/>
    </xf>
    <xf numFmtId="0" fontId="17" fillId="2" borderId="9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 vertical="top"/>
    </xf>
    <xf numFmtId="0" fontId="18" fillId="2" borderId="0" xfId="0" applyFont="1" applyFill="1" applyBorder="1" applyAlignment="1">
      <alignment horizontal="center" vertical="top"/>
    </xf>
    <xf numFmtId="0" fontId="18" fillId="2" borderId="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/>
    <xf numFmtId="0" fontId="20" fillId="0" borderId="10" xfId="0" applyFont="1" applyBorder="1" applyAlignment="1">
      <alignment horizontal="center"/>
    </xf>
    <xf numFmtId="0" fontId="19" fillId="2" borderId="24" xfId="0" applyFont="1" applyFill="1" applyBorder="1" applyAlignment="1">
      <alignment horizontal="center" wrapText="1"/>
    </xf>
    <xf numFmtId="0" fontId="19" fillId="2" borderId="25" xfId="0" applyFont="1" applyFill="1" applyBorder="1" applyAlignment="1">
      <alignment horizontal="center" wrapText="1"/>
    </xf>
    <xf numFmtId="0" fontId="19" fillId="2" borderId="25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left" vertical="center"/>
    </xf>
    <xf numFmtId="4" fontId="19" fillId="5" borderId="25" xfId="0" applyNumberFormat="1" applyFont="1" applyFill="1" applyBorder="1" applyAlignment="1">
      <alignment horizontal="center" vertical="center"/>
    </xf>
    <xf numFmtId="4" fontId="17" fillId="5" borderId="25" xfId="0" applyNumberFormat="1" applyFont="1" applyFill="1" applyBorder="1" applyAlignment="1">
      <alignment horizontal="center" vertical="center"/>
    </xf>
    <xf numFmtId="4" fontId="17" fillId="5" borderId="26" xfId="0" applyNumberFormat="1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wrapText="1"/>
    </xf>
    <xf numFmtId="0" fontId="19" fillId="2" borderId="28" xfId="0" applyFont="1" applyFill="1" applyBorder="1" applyAlignment="1">
      <alignment horizontal="center" wrapText="1"/>
    </xf>
    <xf numFmtId="0" fontId="19" fillId="2" borderId="28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top"/>
    </xf>
    <xf numFmtId="0" fontId="18" fillId="2" borderId="31" xfId="0" applyFont="1" applyFill="1" applyBorder="1" applyAlignment="1">
      <alignment horizontal="left" vertical="top" wrapText="1"/>
    </xf>
    <xf numFmtId="4" fontId="18" fillId="2" borderId="31" xfId="0" applyNumberFormat="1" applyFont="1" applyFill="1" applyBorder="1" applyAlignment="1">
      <alignment horizontal="center"/>
    </xf>
    <xf numFmtId="4" fontId="18" fillId="2" borderId="32" xfId="0" applyNumberFormat="1" applyFont="1" applyFill="1" applyBorder="1" applyAlignment="1">
      <alignment horizontal="center"/>
    </xf>
    <xf numFmtId="0" fontId="18" fillId="2" borderId="34" xfId="0" applyFont="1" applyFill="1" applyBorder="1" applyAlignment="1">
      <alignment horizontal="center" vertical="top"/>
    </xf>
    <xf numFmtId="0" fontId="18" fillId="2" borderId="34" xfId="0" applyFont="1" applyFill="1" applyBorder="1" applyAlignment="1">
      <alignment horizontal="left" vertical="top" wrapText="1"/>
    </xf>
    <xf numFmtId="0" fontId="18" fillId="2" borderId="37" xfId="0" applyFont="1" applyFill="1" applyBorder="1" applyAlignment="1">
      <alignment horizontal="center" vertical="top"/>
    </xf>
    <xf numFmtId="0" fontId="18" fillId="2" borderId="37" xfId="0" applyFont="1" applyFill="1" applyBorder="1" applyAlignment="1">
      <alignment horizontal="left" vertical="top" wrapText="1"/>
    </xf>
    <xf numFmtId="4" fontId="18" fillId="2" borderId="37" xfId="0" applyNumberFormat="1" applyFont="1" applyFill="1" applyBorder="1" applyAlignment="1">
      <alignment horizontal="center"/>
    </xf>
    <xf numFmtId="4" fontId="18" fillId="2" borderId="38" xfId="0" applyNumberFormat="1" applyFont="1" applyFill="1" applyBorder="1" applyAlignment="1">
      <alignment horizontal="center"/>
    </xf>
    <xf numFmtId="0" fontId="18" fillId="2" borderId="31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left" vertical="center" wrapText="1"/>
    </xf>
    <xf numFmtId="0" fontId="18" fillId="2" borderId="37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left" vertical="center" wrapText="1"/>
    </xf>
    <xf numFmtId="0" fontId="17" fillId="2" borderId="24" xfId="0" applyFont="1" applyFill="1" applyBorder="1" applyAlignment="1">
      <alignment horizontal="center" vertical="top"/>
    </xf>
    <xf numFmtId="0" fontId="17" fillId="2" borderId="25" xfId="0" applyFont="1" applyFill="1" applyBorder="1" applyAlignment="1">
      <alignment horizontal="center" vertical="top"/>
    </xf>
    <xf numFmtId="0" fontId="18" fillId="2" borderId="25" xfId="0" applyFont="1" applyFill="1" applyBorder="1" applyAlignment="1">
      <alignment horizontal="center" vertical="top"/>
    </xf>
    <xf numFmtId="0" fontId="18" fillId="2" borderId="25" xfId="0" applyFont="1" applyFill="1" applyBorder="1" applyAlignment="1">
      <alignment horizontal="left" vertical="top" wrapText="1"/>
    </xf>
    <xf numFmtId="4" fontId="18" fillId="2" borderId="25" xfId="0" applyNumberFormat="1" applyFont="1" applyFill="1" applyBorder="1" applyAlignment="1">
      <alignment horizontal="center"/>
    </xf>
    <xf numFmtId="4" fontId="18" fillId="2" borderId="26" xfId="0" applyNumberFormat="1" applyFont="1" applyFill="1" applyBorder="1" applyAlignment="1">
      <alignment horizontal="center"/>
    </xf>
    <xf numFmtId="0" fontId="18" fillId="2" borderId="3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left" vertical="center" wrapText="1"/>
    </xf>
    <xf numFmtId="0" fontId="21" fillId="14" borderId="24" xfId="0" applyFont="1" applyFill="1" applyBorder="1" applyAlignment="1">
      <alignment horizontal="center" vertical="center"/>
    </xf>
    <xf numFmtId="0" fontId="21" fillId="14" borderId="25" xfId="0" applyFont="1" applyFill="1" applyBorder="1" applyAlignment="1">
      <alignment horizontal="center" vertical="center"/>
    </xf>
    <xf numFmtId="0" fontId="21" fillId="14" borderId="25" xfId="0" applyFont="1" applyFill="1" applyBorder="1" applyAlignment="1">
      <alignment horizontal="left" vertical="center"/>
    </xf>
    <xf numFmtId="4" fontId="21" fillId="14" borderId="25" xfId="0" applyNumberFormat="1" applyFont="1" applyFill="1" applyBorder="1" applyAlignment="1">
      <alignment horizontal="center" vertical="center"/>
    </xf>
    <xf numFmtId="4" fontId="21" fillId="14" borderId="25" xfId="0" applyNumberFormat="1" applyFont="1" applyFill="1" applyBorder="1" applyAlignment="1">
      <alignment horizontal="center" vertical="center" wrapText="1"/>
    </xf>
    <xf numFmtId="4" fontId="21" fillId="14" borderId="26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wrapText="1"/>
    </xf>
    <xf numFmtId="0" fontId="19" fillId="2" borderId="7" xfId="0" applyFont="1" applyFill="1" applyBorder="1" applyAlignment="1">
      <alignment horizont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top"/>
    </xf>
    <xf numFmtId="0" fontId="20" fillId="2" borderId="31" xfId="0" applyFont="1" applyFill="1" applyBorder="1" applyAlignment="1">
      <alignment horizontal="center" vertical="top"/>
    </xf>
    <xf numFmtId="0" fontId="20" fillId="2" borderId="33" xfId="0" applyFont="1" applyFill="1" applyBorder="1" applyAlignment="1">
      <alignment horizontal="center" vertical="top"/>
    </xf>
    <xf numFmtId="0" fontId="20" fillId="2" borderId="34" xfId="0" applyFont="1" applyFill="1" applyBorder="1" applyAlignment="1">
      <alignment horizontal="center" vertical="top"/>
    </xf>
    <xf numFmtId="0" fontId="20" fillId="2" borderId="33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top"/>
    </xf>
    <xf numFmtId="0" fontId="20" fillId="2" borderId="37" xfId="0" applyFont="1" applyFill="1" applyBorder="1" applyAlignment="1">
      <alignment horizontal="center" vertical="top"/>
    </xf>
    <xf numFmtId="0" fontId="20" fillId="2" borderId="24" xfId="0" applyFont="1" applyFill="1" applyBorder="1" applyAlignment="1">
      <alignment horizontal="center" vertical="top"/>
    </xf>
    <xf numFmtId="0" fontId="20" fillId="2" borderId="25" xfId="0" applyFont="1" applyFill="1" applyBorder="1" applyAlignment="1">
      <alignment horizontal="center" vertical="top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left" vertical="center"/>
    </xf>
    <xf numFmtId="4" fontId="19" fillId="6" borderId="25" xfId="0" applyNumberFormat="1" applyFont="1" applyFill="1" applyBorder="1" applyAlignment="1">
      <alignment horizontal="center" vertical="center"/>
    </xf>
    <xf numFmtId="4" fontId="17" fillId="6" borderId="25" xfId="0" applyNumberFormat="1" applyFont="1" applyFill="1" applyBorder="1" applyAlignment="1">
      <alignment horizontal="center" vertical="center"/>
    </xf>
    <xf numFmtId="4" fontId="17" fillId="6" borderId="26" xfId="0" applyNumberFormat="1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left" vertical="center" wrapText="1"/>
    </xf>
    <xf numFmtId="0" fontId="20" fillId="2" borderId="24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horizontal="left" vertical="center" wrapText="1"/>
    </xf>
    <xf numFmtId="4" fontId="17" fillId="16" borderId="25" xfId="0" applyNumberFormat="1" applyFont="1" applyFill="1" applyBorder="1" applyAlignment="1">
      <alignment horizontal="center" vertical="center"/>
    </xf>
    <xf numFmtId="0" fontId="17" fillId="15" borderId="24" xfId="0" applyFont="1" applyFill="1" applyBorder="1" applyAlignment="1">
      <alignment horizontal="left" vertical="center"/>
    </xf>
    <xf numFmtId="4" fontId="19" fillId="15" borderId="25" xfId="0" applyNumberFormat="1" applyFont="1" applyFill="1" applyBorder="1" applyAlignment="1">
      <alignment horizontal="center" vertical="center"/>
    </xf>
    <xf numFmtId="4" fontId="17" fillId="15" borderId="25" xfId="0" applyNumberFormat="1" applyFont="1" applyFill="1" applyBorder="1" applyAlignment="1">
      <alignment horizontal="center" vertical="center"/>
    </xf>
    <xf numFmtId="4" fontId="17" fillId="15" borderId="26" xfId="0" applyNumberFormat="1" applyFont="1" applyFill="1" applyBorder="1" applyAlignment="1">
      <alignment horizontal="center" vertical="center"/>
    </xf>
    <xf numFmtId="0" fontId="17" fillId="16" borderId="20" xfId="0" applyFont="1" applyFill="1" applyBorder="1" applyAlignment="1">
      <alignment horizontal="left" vertical="center"/>
    </xf>
    <xf numFmtId="4" fontId="19" fillId="16" borderId="20" xfId="0" applyNumberFormat="1" applyFont="1" applyFill="1" applyBorder="1" applyAlignment="1">
      <alignment horizontal="center" vertical="center"/>
    </xf>
    <xf numFmtId="4" fontId="17" fillId="16" borderId="21" xfId="0" applyNumberFormat="1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top"/>
    </xf>
    <xf numFmtId="0" fontId="20" fillId="2" borderId="41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left" vertical="top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7" fillId="16" borderId="2" xfId="0" applyFont="1" applyFill="1" applyBorder="1" applyAlignment="1">
      <alignment horizontal="left" vertical="center"/>
    </xf>
    <xf numFmtId="4" fontId="19" fillId="16" borderId="2" xfId="0" applyNumberFormat="1" applyFont="1" applyFill="1" applyBorder="1" applyAlignment="1">
      <alignment horizontal="center" vertical="center"/>
    </xf>
    <xf numFmtId="4" fontId="17" fillId="16" borderId="18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2" fillId="10" borderId="30" xfId="0" applyFont="1" applyFill="1" applyBorder="1" applyAlignment="1">
      <alignment horizontal="center" vertical="top"/>
    </xf>
    <xf numFmtId="0" fontId="22" fillId="10" borderId="31" xfId="0" applyFont="1" applyFill="1" applyBorder="1" applyAlignment="1">
      <alignment horizontal="center" vertical="top"/>
    </xf>
    <xf numFmtId="0" fontId="22" fillId="10" borderId="31" xfId="0" applyFont="1" applyFill="1" applyBorder="1" applyAlignment="1">
      <alignment horizontal="center" vertical="center"/>
    </xf>
    <xf numFmtId="0" fontId="23" fillId="10" borderId="31" xfId="0" applyFont="1" applyFill="1" applyBorder="1" applyAlignment="1">
      <alignment horizontal="center" vertical="center"/>
    </xf>
    <xf numFmtId="0" fontId="22" fillId="10" borderId="31" xfId="0" applyFont="1" applyFill="1" applyBorder="1" applyAlignment="1">
      <alignment horizontal="left" vertical="top" wrapText="1"/>
    </xf>
    <xf numFmtId="4" fontId="8" fillId="10" borderId="31" xfId="0" applyNumberFormat="1" applyFont="1" applyFill="1" applyBorder="1" applyAlignment="1">
      <alignment horizontal="center" vertical="top"/>
    </xf>
    <xf numFmtId="0" fontId="22" fillId="11" borderId="33" xfId="0" applyFont="1" applyFill="1" applyBorder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2" fillId="11" borderId="34" xfId="0" applyFont="1" applyFill="1" applyBorder="1" applyAlignment="1">
      <alignment horizontal="left" vertical="center" wrapText="1"/>
    </xf>
    <xf numFmtId="4" fontId="8" fillId="11" borderId="34" xfId="0" applyNumberFormat="1" applyFont="1" applyFill="1" applyBorder="1" applyAlignment="1">
      <alignment horizontal="center" vertical="center"/>
    </xf>
    <xf numFmtId="0" fontId="22" fillId="12" borderId="33" xfId="0" applyFont="1" applyFill="1" applyBorder="1" applyAlignment="1">
      <alignment horizontal="center" vertical="center"/>
    </xf>
    <xf numFmtId="0" fontId="22" fillId="12" borderId="34" xfId="0" applyFont="1" applyFill="1" applyBorder="1" applyAlignment="1">
      <alignment horizontal="center" vertical="center"/>
    </xf>
    <xf numFmtId="0" fontId="23" fillId="12" borderId="34" xfId="0" applyFont="1" applyFill="1" applyBorder="1" applyAlignment="1">
      <alignment horizontal="center" vertical="center"/>
    </xf>
    <xf numFmtId="0" fontId="22" fillId="12" borderId="34" xfId="0" applyFont="1" applyFill="1" applyBorder="1" applyAlignment="1">
      <alignment horizontal="left" vertical="center" wrapText="1"/>
    </xf>
    <xf numFmtId="4" fontId="8" fillId="12" borderId="34" xfId="0" applyNumberFormat="1" applyFont="1" applyFill="1" applyBorder="1" applyAlignment="1">
      <alignment horizontal="center" vertical="center"/>
    </xf>
    <xf numFmtId="0" fontId="22" fillId="13" borderId="36" xfId="0" applyFont="1" applyFill="1" applyBorder="1" applyAlignment="1">
      <alignment horizontal="center" vertical="center"/>
    </xf>
    <xf numFmtId="0" fontId="22" fillId="13" borderId="37" xfId="0" applyFont="1" applyFill="1" applyBorder="1" applyAlignment="1">
      <alignment horizontal="center" vertical="center"/>
    </xf>
    <xf numFmtId="0" fontId="23" fillId="13" borderId="37" xfId="0" applyFont="1" applyFill="1" applyBorder="1" applyAlignment="1">
      <alignment horizontal="center" vertical="center"/>
    </xf>
    <xf numFmtId="0" fontId="22" fillId="13" borderId="37" xfId="0" applyFont="1" applyFill="1" applyBorder="1" applyAlignment="1">
      <alignment horizontal="left" vertical="center" wrapText="1"/>
    </xf>
    <xf numFmtId="4" fontId="8" fillId="13" borderId="37" xfId="0" applyNumberFormat="1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top"/>
    </xf>
    <xf numFmtId="0" fontId="18" fillId="2" borderId="47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1" fillId="20" borderId="25" xfId="0" applyFont="1" applyFill="1" applyBorder="1" applyAlignment="1">
      <alignment horizontal="left"/>
    </xf>
    <xf numFmtId="4" fontId="21" fillId="20" borderId="26" xfId="0" applyNumberFormat="1" applyFont="1" applyFill="1" applyBorder="1" applyAlignment="1">
      <alignment horizontal="center"/>
    </xf>
    <xf numFmtId="0" fontId="21" fillId="21" borderId="25" xfId="0" applyFont="1" applyFill="1" applyBorder="1" applyAlignment="1">
      <alignment horizontal="left" vertical="center"/>
    </xf>
    <xf numFmtId="4" fontId="24" fillId="21" borderId="25" xfId="0" applyNumberFormat="1" applyFont="1" applyFill="1" applyBorder="1" applyAlignment="1">
      <alignment horizontal="center" vertical="center"/>
    </xf>
    <xf numFmtId="4" fontId="21" fillId="21" borderId="25" xfId="0" applyNumberFormat="1" applyFont="1" applyFill="1" applyBorder="1" applyAlignment="1">
      <alignment horizontal="center" vertical="center"/>
    </xf>
    <xf numFmtId="4" fontId="21" fillId="21" borderId="26" xfId="0" applyNumberFormat="1" applyFont="1" applyFill="1" applyBorder="1" applyAlignment="1">
      <alignment horizontal="center" vertical="center"/>
    </xf>
    <xf numFmtId="0" fontId="21" fillId="19" borderId="25" xfId="0" applyFont="1" applyFill="1" applyBorder="1" applyAlignment="1">
      <alignment horizontal="left" vertical="center"/>
    </xf>
    <xf numFmtId="4" fontId="21" fillId="19" borderId="26" xfId="0" applyNumberFormat="1" applyFont="1" applyFill="1" applyBorder="1" applyAlignment="1">
      <alignment horizontal="center" vertical="center"/>
    </xf>
    <xf numFmtId="0" fontId="21" fillId="22" borderId="25" xfId="0" applyFont="1" applyFill="1" applyBorder="1" applyAlignment="1">
      <alignment horizontal="left" vertical="center"/>
    </xf>
    <xf numFmtId="4" fontId="21" fillId="22" borderId="26" xfId="0" applyNumberFormat="1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top"/>
    </xf>
    <xf numFmtId="0" fontId="18" fillId="2" borderId="49" xfId="0" applyFont="1" applyFill="1" applyBorder="1" applyAlignment="1">
      <alignment horizontal="left" vertical="top" wrapText="1"/>
    </xf>
    <xf numFmtId="0" fontId="20" fillId="2" borderId="50" xfId="0" applyFont="1" applyFill="1" applyBorder="1" applyAlignment="1">
      <alignment horizontal="center" vertical="top"/>
    </xf>
    <xf numFmtId="0" fontId="20" fillId="2" borderId="4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left" vertical="top" wrapText="1"/>
    </xf>
    <xf numFmtId="0" fontId="20" fillId="2" borderId="50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 wrapText="1"/>
    </xf>
    <xf numFmtId="4" fontId="31" fillId="0" borderId="0" xfId="0" applyNumberFormat="1" applyFont="1" applyAlignment="1">
      <alignment horizontal="center" wrapText="1"/>
    </xf>
    <xf numFmtId="44" fontId="31" fillId="0" borderId="0" xfId="0" applyNumberFormat="1" applyFont="1" applyAlignment="1">
      <alignment horizontal="center" wrapText="1"/>
    </xf>
    <xf numFmtId="44" fontId="32" fillId="0" borderId="0" xfId="0" applyNumberFormat="1" applyFont="1" applyAlignment="1">
      <alignment horizontal="center" wrapText="1"/>
    </xf>
    <xf numFmtId="10" fontId="33" fillId="0" borderId="0" xfId="0" applyNumberFormat="1" applyFont="1" applyAlignment="1">
      <alignment horizontal="center"/>
    </xf>
    <xf numFmtId="4" fontId="22" fillId="23" borderId="34" xfId="0" applyNumberFormat="1" applyFont="1" applyFill="1" applyBorder="1" applyAlignment="1">
      <alignment horizontal="center"/>
    </xf>
    <xf numFmtId="4" fontId="22" fillId="23" borderId="35" xfId="0" applyNumberFormat="1" applyFont="1" applyFill="1" applyBorder="1" applyAlignment="1">
      <alignment horizontal="center"/>
    </xf>
    <xf numFmtId="4" fontId="22" fillId="18" borderId="34" xfId="0" applyNumberFormat="1" applyFont="1" applyFill="1" applyBorder="1" applyAlignment="1">
      <alignment horizontal="center"/>
    </xf>
    <xf numFmtId="4" fontId="22" fillId="18" borderId="35" xfId="0" applyNumberFormat="1" applyFont="1" applyFill="1" applyBorder="1" applyAlignment="1">
      <alignment horizontal="center"/>
    </xf>
    <xf numFmtId="4" fontId="22" fillId="17" borderId="37" xfId="0" applyNumberFormat="1" applyFont="1" applyFill="1" applyBorder="1" applyAlignment="1">
      <alignment horizontal="center"/>
    </xf>
    <xf numFmtId="4" fontId="22" fillId="17" borderId="38" xfId="0" applyNumberFormat="1" applyFont="1" applyFill="1" applyBorder="1" applyAlignment="1">
      <alignment horizontal="center"/>
    </xf>
    <xf numFmtId="4" fontId="34" fillId="0" borderId="0" xfId="0" applyNumberFormat="1" applyFont="1" applyAlignment="1">
      <alignment horizontal="center"/>
    </xf>
    <xf numFmtId="0" fontId="22" fillId="5" borderId="9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left" vertical="center" wrapText="1"/>
    </xf>
    <xf numFmtId="4" fontId="23" fillId="5" borderId="0" xfId="0" applyNumberFormat="1" applyFont="1" applyFill="1" applyBorder="1" applyAlignment="1">
      <alignment horizontal="center" vertical="center"/>
    </xf>
    <xf numFmtId="4" fontId="22" fillId="5" borderId="0" xfId="0" applyNumberFormat="1" applyFont="1" applyFill="1" applyBorder="1" applyAlignment="1">
      <alignment horizontal="center" vertical="center"/>
    </xf>
    <xf numFmtId="4" fontId="22" fillId="5" borderId="10" xfId="0" applyNumberFormat="1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/>
    </xf>
    <xf numFmtId="0" fontId="22" fillId="4" borderId="28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2" fillId="4" borderId="28" xfId="0" applyFont="1" applyFill="1" applyBorder="1" applyAlignment="1">
      <alignment horizontal="left" vertical="center" wrapText="1"/>
    </xf>
    <xf numFmtId="4" fontId="23" fillId="4" borderId="28" xfId="0" applyNumberFormat="1" applyFont="1" applyFill="1" applyBorder="1" applyAlignment="1">
      <alignment horizontal="center" vertical="center"/>
    </xf>
    <xf numFmtId="4" fontId="22" fillId="4" borderId="28" xfId="0" applyNumberFormat="1" applyFont="1" applyFill="1" applyBorder="1" applyAlignment="1">
      <alignment horizontal="center" vertical="center"/>
    </xf>
    <xf numFmtId="4" fontId="22" fillId="4" borderId="29" xfId="0" applyNumberFormat="1" applyFont="1" applyFill="1" applyBorder="1" applyAlignment="1">
      <alignment horizontal="center" vertical="center"/>
    </xf>
    <xf numFmtId="0" fontId="22" fillId="4" borderId="3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left" vertical="center" wrapText="1"/>
    </xf>
    <xf numFmtId="4" fontId="23" fillId="4" borderId="31" xfId="0" applyNumberFormat="1" applyFont="1" applyFill="1" applyBorder="1" applyAlignment="1">
      <alignment horizontal="center" vertical="center"/>
    </xf>
    <xf numFmtId="4" fontId="22" fillId="4" borderId="31" xfId="0" applyNumberFormat="1" applyFont="1" applyFill="1" applyBorder="1" applyAlignment="1">
      <alignment horizontal="center" vertical="center"/>
    </xf>
    <xf numFmtId="4" fontId="22" fillId="4" borderId="32" xfId="0" applyNumberFormat="1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22" fillId="5" borderId="37" xfId="0" applyFont="1" applyFill="1" applyBorder="1" applyAlignment="1">
      <alignment horizontal="center" vertical="center"/>
    </xf>
    <xf numFmtId="0" fontId="23" fillId="5" borderId="37" xfId="0" applyFont="1" applyFill="1" applyBorder="1" applyAlignment="1">
      <alignment horizontal="center" vertical="center"/>
    </xf>
    <xf numFmtId="0" fontId="22" fillId="5" borderId="37" xfId="0" applyFont="1" applyFill="1" applyBorder="1" applyAlignment="1">
      <alignment horizontal="left" vertical="center" wrapText="1"/>
    </xf>
    <xf numFmtId="4" fontId="23" fillId="5" borderId="37" xfId="0" applyNumberFormat="1" applyFont="1" applyFill="1" applyBorder="1" applyAlignment="1">
      <alignment horizontal="center" vertical="center"/>
    </xf>
    <xf numFmtId="4" fontId="22" fillId="5" borderId="37" xfId="0" applyNumberFormat="1" applyFont="1" applyFill="1" applyBorder="1" applyAlignment="1">
      <alignment horizontal="center" vertical="center"/>
    </xf>
    <xf numFmtId="4" fontId="22" fillId="5" borderId="38" xfId="0" applyNumberFormat="1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left" vertical="center" wrapText="1"/>
    </xf>
    <xf numFmtId="4" fontId="23" fillId="5" borderId="25" xfId="0" applyNumberFormat="1" applyFont="1" applyFill="1" applyBorder="1" applyAlignment="1">
      <alignment horizontal="center" vertical="center"/>
    </xf>
    <xf numFmtId="4" fontId="22" fillId="5" borderId="25" xfId="0" applyNumberFormat="1" applyFont="1" applyFill="1" applyBorder="1" applyAlignment="1">
      <alignment horizontal="center" vertical="center"/>
    </xf>
    <xf numFmtId="4" fontId="22" fillId="5" borderId="26" xfId="0" applyNumberFormat="1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left" vertical="center"/>
    </xf>
    <xf numFmtId="0" fontId="22" fillId="5" borderId="37" xfId="0" applyFont="1" applyFill="1" applyBorder="1" applyAlignment="1">
      <alignment horizontal="left" vertical="center"/>
    </xf>
    <xf numFmtId="0" fontId="22" fillId="5" borderId="25" xfId="0" applyFont="1" applyFill="1" applyBorder="1" applyAlignment="1">
      <alignment horizontal="left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left" vertical="center"/>
    </xf>
    <xf numFmtId="4" fontId="23" fillId="4" borderId="25" xfId="0" applyNumberFormat="1" applyFont="1" applyFill="1" applyBorder="1" applyAlignment="1">
      <alignment horizontal="center" vertical="center"/>
    </xf>
    <xf numFmtId="4" fontId="22" fillId="4" borderId="25" xfId="0" applyNumberFormat="1" applyFont="1" applyFill="1" applyBorder="1" applyAlignment="1">
      <alignment horizontal="center" vertical="center"/>
    </xf>
    <xf numFmtId="4" fontId="22" fillId="4" borderId="26" xfId="0" applyNumberFormat="1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left" vertical="center"/>
    </xf>
    <xf numFmtId="4" fontId="23" fillId="3" borderId="31" xfId="0" applyNumberFormat="1" applyFont="1" applyFill="1" applyBorder="1" applyAlignment="1">
      <alignment horizontal="center" vertical="center"/>
    </xf>
    <xf numFmtId="4" fontId="22" fillId="3" borderId="31" xfId="0" applyNumberFormat="1" applyFont="1" applyFill="1" applyBorder="1" applyAlignment="1">
      <alignment horizontal="center" vertical="center"/>
    </xf>
    <xf numFmtId="4" fontId="22" fillId="3" borderId="32" xfId="0" applyNumberFormat="1" applyFont="1" applyFill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0" fontId="22" fillId="4" borderId="34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2" fillId="4" borderId="34" xfId="0" applyFont="1" applyFill="1" applyBorder="1" applyAlignment="1">
      <alignment horizontal="left" vertical="center"/>
    </xf>
    <xf numFmtId="4" fontId="23" fillId="4" borderId="34" xfId="0" applyNumberFormat="1" applyFont="1" applyFill="1" applyBorder="1" applyAlignment="1">
      <alignment horizontal="center" vertical="center"/>
    </xf>
    <xf numFmtId="4" fontId="22" fillId="4" borderId="34" xfId="0" applyNumberFormat="1" applyFont="1" applyFill="1" applyBorder="1" applyAlignment="1">
      <alignment horizontal="center" vertical="center"/>
    </xf>
    <xf numFmtId="4" fontId="22" fillId="4" borderId="35" xfId="0" applyNumberFormat="1" applyFont="1" applyFill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/>
    </xf>
    <xf numFmtId="0" fontId="22" fillId="5" borderId="34" xfId="0" applyFont="1" applyFill="1" applyBorder="1" applyAlignment="1">
      <alignment horizontal="center" vertical="center"/>
    </xf>
    <xf numFmtId="0" fontId="23" fillId="5" borderId="34" xfId="0" applyFont="1" applyFill="1" applyBorder="1" applyAlignment="1">
      <alignment horizontal="center" vertical="center"/>
    </xf>
    <xf numFmtId="0" fontId="22" fillId="5" borderId="34" xfId="0" applyFont="1" applyFill="1" applyBorder="1" applyAlignment="1">
      <alignment horizontal="left" vertical="center"/>
    </xf>
    <xf numFmtId="4" fontId="23" fillId="5" borderId="34" xfId="0" applyNumberFormat="1" applyFont="1" applyFill="1" applyBorder="1" applyAlignment="1">
      <alignment horizontal="center" vertical="center"/>
    </xf>
    <xf numFmtId="4" fontId="22" fillId="5" borderId="34" xfId="0" applyNumberFormat="1" applyFont="1" applyFill="1" applyBorder="1" applyAlignment="1">
      <alignment horizontal="center" vertical="center"/>
    </xf>
    <xf numFmtId="4" fontId="22" fillId="5" borderId="35" xfId="0" applyNumberFormat="1" applyFont="1" applyFill="1" applyBorder="1" applyAlignment="1">
      <alignment horizontal="center" vertical="center"/>
    </xf>
    <xf numFmtId="0" fontId="22" fillId="6" borderId="36" xfId="0" applyFont="1" applyFill="1" applyBorder="1" applyAlignment="1">
      <alignment horizontal="center" vertical="center"/>
    </xf>
    <xf numFmtId="0" fontId="22" fillId="6" borderId="37" xfId="0" applyFont="1" applyFill="1" applyBorder="1" applyAlignment="1">
      <alignment horizontal="center" vertical="center"/>
    </xf>
    <xf numFmtId="0" fontId="23" fillId="6" borderId="37" xfId="0" applyFont="1" applyFill="1" applyBorder="1" applyAlignment="1">
      <alignment horizontal="center" vertical="center"/>
    </xf>
    <xf numFmtId="0" fontId="22" fillId="6" borderId="37" xfId="0" applyFont="1" applyFill="1" applyBorder="1" applyAlignment="1">
      <alignment horizontal="left" vertical="center"/>
    </xf>
    <xf numFmtId="4" fontId="23" fillId="6" borderId="37" xfId="0" applyNumberFormat="1" applyFont="1" applyFill="1" applyBorder="1" applyAlignment="1">
      <alignment horizontal="center" vertical="center"/>
    </xf>
    <xf numFmtId="4" fontId="22" fillId="6" borderId="37" xfId="0" applyNumberFormat="1" applyFont="1" applyFill="1" applyBorder="1" applyAlignment="1">
      <alignment horizontal="center" vertical="center"/>
    </xf>
    <xf numFmtId="4" fontId="22" fillId="6" borderId="38" xfId="0" applyNumberFormat="1" applyFont="1" applyFill="1" applyBorder="1" applyAlignment="1">
      <alignment horizontal="center" vertical="center"/>
    </xf>
    <xf numFmtId="0" fontId="22" fillId="6" borderId="24" xfId="0" applyFont="1" applyFill="1" applyBorder="1" applyAlignment="1">
      <alignment horizontal="center" vertical="center"/>
    </xf>
    <xf numFmtId="0" fontId="22" fillId="6" borderId="25" xfId="0" applyFont="1" applyFill="1" applyBorder="1" applyAlignment="1">
      <alignment horizontal="center" vertical="center"/>
    </xf>
    <xf numFmtId="0" fontId="23" fillId="6" borderId="25" xfId="0" applyFont="1" applyFill="1" applyBorder="1" applyAlignment="1">
      <alignment horizontal="center" vertical="center"/>
    </xf>
    <xf numFmtId="0" fontId="22" fillId="6" borderId="25" xfId="0" applyFont="1" applyFill="1" applyBorder="1" applyAlignment="1">
      <alignment horizontal="left" vertical="center"/>
    </xf>
    <xf numFmtId="4" fontId="23" fillId="6" borderId="25" xfId="0" applyNumberFormat="1" applyFont="1" applyFill="1" applyBorder="1" applyAlignment="1">
      <alignment horizontal="center" vertical="center"/>
    </xf>
    <xf numFmtId="4" fontId="22" fillId="6" borderId="25" xfId="0" applyNumberFormat="1" applyFont="1" applyFill="1" applyBorder="1" applyAlignment="1">
      <alignment horizontal="center" vertical="center"/>
    </xf>
    <xf numFmtId="4" fontId="22" fillId="6" borderId="26" xfId="0" applyNumberFormat="1" applyFont="1" applyFill="1" applyBorder="1" applyAlignment="1">
      <alignment horizontal="center" vertical="center"/>
    </xf>
    <xf numFmtId="0" fontId="22" fillId="5" borderId="30" xfId="0" applyFont="1" applyFill="1" applyBorder="1" applyAlignment="1">
      <alignment horizontal="center" vertical="center"/>
    </xf>
    <xf numFmtId="0" fontId="22" fillId="5" borderId="31" xfId="0" applyFont="1" applyFill="1" applyBorder="1" applyAlignment="1">
      <alignment horizontal="center" vertical="center"/>
    </xf>
    <xf numFmtId="0" fontId="23" fillId="5" borderId="31" xfId="0" applyFont="1" applyFill="1" applyBorder="1" applyAlignment="1">
      <alignment horizontal="center" vertical="center"/>
    </xf>
    <xf numFmtId="0" fontId="22" fillId="5" borderId="31" xfId="0" applyFont="1" applyFill="1" applyBorder="1" applyAlignment="1">
      <alignment horizontal="left" vertical="center"/>
    </xf>
    <xf numFmtId="4" fontId="23" fillId="5" borderId="31" xfId="0" applyNumberFormat="1" applyFont="1" applyFill="1" applyBorder="1" applyAlignment="1">
      <alignment horizontal="center" vertical="center"/>
    </xf>
    <xf numFmtId="4" fontId="22" fillId="5" borderId="31" xfId="0" applyNumberFormat="1" applyFont="1" applyFill="1" applyBorder="1" applyAlignment="1">
      <alignment horizontal="center" vertical="center"/>
    </xf>
    <xf numFmtId="4" fontId="22" fillId="5" borderId="32" xfId="0" applyNumberFormat="1" applyFont="1" applyFill="1" applyBorder="1" applyAlignment="1">
      <alignment horizontal="center" vertical="center"/>
    </xf>
    <xf numFmtId="0" fontId="22" fillId="6" borderId="33" xfId="0" applyFont="1" applyFill="1" applyBorder="1" applyAlignment="1">
      <alignment horizontal="center" vertical="center"/>
    </xf>
    <xf numFmtId="0" fontId="22" fillId="6" borderId="34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/>
    </xf>
    <xf numFmtId="0" fontId="22" fillId="6" borderId="34" xfId="0" applyFont="1" applyFill="1" applyBorder="1" applyAlignment="1">
      <alignment horizontal="left" vertical="center"/>
    </xf>
    <xf numFmtId="4" fontId="23" fillId="6" borderId="34" xfId="0" applyNumberFormat="1" applyFont="1" applyFill="1" applyBorder="1" applyAlignment="1">
      <alignment horizontal="center" vertical="center"/>
    </xf>
    <xf numFmtId="4" fontId="22" fillId="6" borderId="34" xfId="0" applyNumberFormat="1" applyFont="1" applyFill="1" applyBorder="1" applyAlignment="1">
      <alignment horizontal="center" vertical="center"/>
    </xf>
    <xf numFmtId="4" fontId="22" fillId="6" borderId="35" xfId="0" applyNumberFormat="1" applyFont="1" applyFill="1" applyBorder="1" applyAlignment="1">
      <alignment horizontal="center" vertical="center"/>
    </xf>
    <xf numFmtId="0" fontId="22" fillId="7" borderId="36" xfId="0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/>
    </xf>
    <xf numFmtId="0" fontId="23" fillId="7" borderId="37" xfId="0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left" vertical="center"/>
    </xf>
    <xf numFmtId="4" fontId="23" fillId="7" borderId="37" xfId="0" applyNumberFormat="1" applyFont="1" applyFill="1" applyBorder="1" applyAlignment="1">
      <alignment horizontal="center" vertical="center"/>
    </xf>
    <xf numFmtId="4" fontId="22" fillId="7" borderId="37" xfId="0" applyNumberFormat="1" applyFont="1" applyFill="1" applyBorder="1" applyAlignment="1">
      <alignment horizontal="center" vertical="center"/>
    </xf>
    <xf numFmtId="4" fontId="22" fillId="7" borderId="38" xfId="0" applyNumberFormat="1" applyFont="1" applyFill="1" applyBorder="1" applyAlignment="1">
      <alignment horizontal="center" vertical="center"/>
    </xf>
    <xf numFmtId="0" fontId="22" fillId="7" borderId="24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0" fontId="23" fillId="7" borderId="25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left" vertical="center"/>
    </xf>
    <xf numFmtId="4" fontId="23" fillId="7" borderId="25" xfId="0" applyNumberFormat="1" applyFont="1" applyFill="1" applyBorder="1" applyAlignment="1">
      <alignment horizontal="center" vertical="center"/>
    </xf>
    <xf numFmtId="4" fontId="22" fillId="7" borderId="25" xfId="0" applyNumberFormat="1" applyFont="1" applyFill="1" applyBorder="1" applyAlignment="1">
      <alignment horizontal="center" vertical="center"/>
    </xf>
    <xf numFmtId="4" fontId="22" fillId="7" borderId="26" xfId="0" applyNumberFormat="1" applyFont="1" applyFill="1" applyBorder="1" applyAlignment="1">
      <alignment horizontal="center" vertical="center"/>
    </xf>
    <xf numFmtId="0" fontId="22" fillId="6" borderId="30" xfId="0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center" vertical="center"/>
    </xf>
    <xf numFmtId="0" fontId="23" fillId="6" borderId="31" xfId="0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left" vertical="center"/>
    </xf>
    <xf numFmtId="4" fontId="23" fillId="6" borderId="31" xfId="0" applyNumberFormat="1" applyFont="1" applyFill="1" applyBorder="1" applyAlignment="1">
      <alignment horizontal="center" vertical="center"/>
    </xf>
    <xf numFmtId="4" fontId="22" fillId="6" borderId="31" xfId="0" applyNumberFormat="1" applyFont="1" applyFill="1" applyBorder="1" applyAlignment="1">
      <alignment horizontal="center" vertical="center"/>
    </xf>
    <xf numFmtId="4" fontId="22" fillId="6" borderId="32" xfId="0" applyNumberFormat="1" applyFont="1" applyFill="1" applyBorder="1" applyAlignment="1">
      <alignment horizontal="center" vertical="center"/>
    </xf>
    <xf numFmtId="0" fontId="22" fillId="7" borderId="30" xfId="0" applyFont="1" applyFill="1" applyBorder="1" applyAlignment="1">
      <alignment horizontal="center" vertical="center"/>
    </xf>
    <xf numFmtId="0" fontId="22" fillId="7" borderId="31" xfId="0" applyFont="1" applyFill="1" applyBorder="1" applyAlignment="1">
      <alignment horizontal="center" vertical="center"/>
    </xf>
    <xf numFmtId="0" fontId="23" fillId="7" borderId="31" xfId="0" applyFont="1" applyFill="1" applyBorder="1" applyAlignment="1">
      <alignment horizontal="center" vertical="center"/>
    </xf>
    <xf numFmtId="0" fontId="22" fillId="7" borderId="31" xfId="0" applyFont="1" applyFill="1" applyBorder="1" applyAlignment="1">
      <alignment horizontal="left" vertical="center"/>
    </xf>
    <xf numFmtId="4" fontId="23" fillId="7" borderId="31" xfId="0" applyNumberFormat="1" applyFont="1" applyFill="1" applyBorder="1" applyAlignment="1">
      <alignment horizontal="center" vertical="center"/>
    </xf>
    <xf numFmtId="4" fontId="22" fillId="7" borderId="31" xfId="0" applyNumberFormat="1" applyFont="1" applyFill="1" applyBorder="1" applyAlignment="1">
      <alignment horizontal="center" vertical="center"/>
    </xf>
    <xf numFmtId="4" fontId="22" fillId="7" borderId="32" xfId="0" applyNumberFormat="1" applyFont="1" applyFill="1" applyBorder="1" applyAlignment="1">
      <alignment horizontal="center" vertical="center"/>
    </xf>
    <xf numFmtId="0" fontId="22" fillId="8" borderId="36" xfId="0" applyFont="1" applyFill="1" applyBorder="1" applyAlignment="1">
      <alignment horizontal="center" vertical="center"/>
    </xf>
    <xf numFmtId="0" fontId="22" fillId="8" borderId="37" xfId="0" applyFont="1" applyFill="1" applyBorder="1" applyAlignment="1">
      <alignment horizontal="center" vertical="center"/>
    </xf>
    <xf numFmtId="0" fontId="23" fillId="8" borderId="37" xfId="0" applyFont="1" applyFill="1" applyBorder="1" applyAlignment="1">
      <alignment horizontal="center" vertical="center"/>
    </xf>
    <xf numFmtId="0" fontId="22" fillId="8" borderId="37" xfId="0" applyFont="1" applyFill="1" applyBorder="1" applyAlignment="1">
      <alignment horizontal="left" vertical="center"/>
    </xf>
    <xf numFmtId="4" fontId="23" fillId="8" borderId="37" xfId="0" applyNumberFormat="1" applyFont="1" applyFill="1" applyBorder="1" applyAlignment="1">
      <alignment horizontal="center" vertical="center"/>
    </xf>
    <xf numFmtId="4" fontId="22" fillId="8" borderId="37" xfId="0" applyNumberFormat="1" applyFont="1" applyFill="1" applyBorder="1" applyAlignment="1">
      <alignment horizontal="center" vertical="center"/>
    </xf>
    <xf numFmtId="4" fontId="22" fillId="8" borderId="38" xfId="0" applyNumberFormat="1" applyFont="1" applyFill="1" applyBorder="1" applyAlignment="1">
      <alignment horizontal="center" vertical="center"/>
    </xf>
    <xf numFmtId="0" fontId="22" fillId="8" borderId="24" xfId="0" applyFont="1" applyFill="1" applyBorder="1" applyAlignment="1">
      <alignment horizontal="center" vertical="center"/>
    </xf>
    <xf numFmtId="0" fontId="22" fillId="8" borderId="25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0" fontId="22" fillId="8" borderId="25" xfId="0" applyFont="1" applyFill="1" applyBorder="1" applyAlignment="1">
      <alignment horizontal="left" vertical="center"/>
    </xf>
    <xf numFmtId="4" fontId="23" fillId="8" borderId="25" xfId="0" applyNumberFormat="1" applyFont="1" applyFill="1" applyBorder="1" applyAlignment="1">
      <alignment horizontal="center" vertical="center"/>
    </xf>
    <xf numFmtId="4" fontId="22" fillId="8" borderId="25" xfId="0" applyNumberFormat="1" applyFont="1" applyFill="1" applyBorder="1" applyAlignment="1">
      <alignment horizontal="center" vertical="center"/>
    </xf>
    <xf numFmtId="4" fontId="22" fillId="8" borderId="26" xfId="0" applyNumberFormat="1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left" vertical="center"/>
    </xf>
    <xf numFmtId="4" fontId="23" fillId="6" borderId="4" xfId="0" applyNumberFormat="1" applyFont="1" applyFill="1" applyBorder="1" applyAlignment="1">
      <alignment horizontal="center" vertical="center"/>
    </xf>
    <xf numFmtId="4" fontId="22" fillId="6" borderId="4" xfId="0" applyNumberFormat="1" applyFont="1" applyFill="1" applyBorder="1" applyAlignment="1">
      <alignment horizontal="center" vertical="center"/>
    </xf>
    <xf numFmtId="4" fontId="22" fillId="6" borderId="40" xfId="0" applyNumberFormat="1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2" fillId="7" borderId="20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4" fontId="22" fillId="6" borderId="44" xfId="0" applyNumberFormat="1" applyFont="1" applyFill="1" applyBorder="1" applyAlignment="1">
      <alignment horizontal="center" vertical="center"/>
    </xf>
    <xf numFmtId="4" fontId="22" fillId="7" borderId="39" xfId="0" applyNumberFormat="1" applyFont="1" applyFill="1" applyBorder="1" applyAlignment="1">
      <alignment horizontal="center" vertical="center"/>
    </xf>
    <xf numFmtId="4" fontId="22" fillId="7" borderId="44" xfId="0" applyNumberFormat="1" applyFont="1" applyFill="1" applyBorder="1" applyAlignment="1">
      <alignment horizontal="center" vertical="center"/>
    </xf>
    <xf numFmtId="4" fontId="22" fillId="8" borderId="39" xfId="0" applyNumberFormat="1" applyFont="1" applyFill="1" applyBorder="1" applyAlignment="1">
      <alignment horizontal="center" vertical="center"/>
    </xf>
    <xf numFmtId="4" fontId="22" fillId="8" borderId="29" xfId="0" applyNumberFormat="1" applyFont="1" applyFill="1" applyBorder="1" applyAlignment="1">
      <alignment horizontal="center" vertical="center"/>
    </xf>
    <xf numFmtId="4" fontId="22" fillId="7" borderId="29" xfId="0" applyNumberFormat="1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left" vertical="center" wrapText="1"/>
    </xf>
    <xf numFmtId="0" fontId="22" fillId="3" borderId="31" xfId="0" applyFont="1" applyFill="1" applyBorder="1" applyAlignment="1">
      <alignment horizontal="left" vertical="center" wrapText="1"/>
    </xf>
    <xf numFmtId="0" fontId="22" fillId="4" borderId="34" xfId="0" applyFont="1" applyFill="1" applyBorder="1" applyAlignment="1">
      <alignment horizontal="left" vertical="center" wrapText="1"/>
    </xf>
    <xf numFmtId="0" fontId="22" fillId="5" borderId="34" xfId="0" applyFont="1" applyFill="1" applyBorder="1" applyAlignment="1">
      <alignment horizontal="left" vertical="center" wrapText="1"/>
    </xf>
    <xf numFmtId="0" fontId="22" fillId="6" borderId="37" xfId="0" applyFont="1" applyFill="1" applyBorder="1" applyAlignment="1">
      <alignment horizontal="left" vertical="center" wrapText="1"/>
    </xf>
    <xf numFmtId="0" fontId="22" fillId="6" borderId="25" xfId="0" applyFont="1" applyFill="1" applyBorder="1" applyAlignment="1">
      <alignment horizontal="left" vertical="center" wrapText="1"/>
    </xf>
    <xf numFmtId="0" fontId="22" fillId="5" borderId="31" xfId="0" applyFont="1" applyFill="1" applyBorder="1" applyAlignment="1">
      <alignment horizontal="left" vertical="center" wrapText="1"/>
    </xf>
    <xf numFmtId="0" fontId="22" fillId="6" borderId="19" xfId="0" applyFont="1" applyFill="1" applyBorder="1" applyAlignment="1">
      <alignment horizontal="center" vertical="center"/>
    </xf>
    <xf numFmtId="0" fontId="22" fillId="6" borderId="20" xfId="0" applyFont="1" applyFill="1" applyBorder="1" applyAlignment="1">
      <alignment horizontal="center" vertical="center"/>
    </xf>
    <xf numFmtId="0" fontId="23" fillId="6" borderId="20" xfId="0" applyFont="1" applyFill="1" applyBorder="1" applyAlignment="1">
      <alignment horizontal="center" vertical="center"/>
    </xf>
    <xf numFmtId="0" fontId="22" fillId="6" borderId="20" xfId="0" applyFont="1" applyFill="1" applyBorder="1" applyAlignment="1">
      <alignment horizontal="left" vertical="center" wrapText="1"/>
    </xf>
    <xf numFmtId="4" fontId="23" fillId="6" borderId="20" xfId="0" applyNumberFormat="1" applyFont="1" applyFill="1" applyBorder="1" applyAlignment="1">
      <alignment horizontal="center" vertical="center"/>
    </xf>
    <xf numFmtId="4" fontId="22" fillId="6" borderId="20" xfId="0" applyNumberFormat="1" applyFont="1" applyFill="1" applyBorder="1" applyAlignment="1">
      <alignment horizontal="center" vertical="center"/>
    </xf>
    <xf numFmtId="4" fontId="22" fillId="6" borderId="21" xfId="0" applyNumberFormat="1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3" fillId="3" borderId="25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left" vertical="center" wrapText="1"/>
    </xf>
    <xf numFmtId="4" fontId="23" fillId="3" borderId="25" xfId="0" applyNumberFormat="1" applyFont="1" applyFill="1" applyBorder="1" applyAlignment="1">
      <alignment horizontal="center" vertical="center"/>
    </xf>
    <xf numFmtId="4" fontId="22" fillId="3" borderId="25" xfId="0" applyNumberFormat="1" applyFont="1" applyFill="1" applyBorder="1" applyAlignment="1">
      <alignment horizontal="center" vertical="center"/>
    </xf>
    <xf numFmtId="4" fontId="22" fillId="3" borderId="26" xfId="0" applyNumberFormat="1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left" vertical="center" wrapText="1"/>
    </xf>
    <xf numFmtId="0" fontId="22" fillId="6" borderId="34" xfId="0" applyFont="1" applyFill="1" applyBorder="1" applyAlignment="1">
      <alignment horizontal="left" vertical="center" wrapText="1"/>
    </xf>
    <xf numFmtId="0" fontId="22" fillId="7" borderId="37" xfId="0" applyFont="1" applyFill="1" applyBorder="1" applyAlignment="1">
      <alignment horizontal="left" vertical="center" wrapText="1"/>
    </xf>
    <xf numFmtId="0" fontId="22" fillId="5" borderId="24" xfId="0" applyFont="1" applyFill="1" applyBorder="1" applyAlignment="1">
      <alignment horizontal="center"/>
    </xf>
    <xf numFmtId="0" fontId="22" fillId="5" borderId="25" xfId="0" applyFont="1" applyFill="1" applyBorder="1" applyAlignment="1">
      <alignment horizontal="center"/>
    </xf>
    <xf numFmtId="0" fontId="23" fillId="5" borderId="25" xfId="0" applyFont="1" applyFill="1" applyBorder="1" applyAlignment="1">
      <alignment horizontal="center"/>
    </xf>
    <xf numFmtId="0" fontId="22" fillId="5" borderId="25" xfId="0" applyFont="1" applyFill="1" applyBorder="1" applyAlignment="1">
      <alignment horizontal="left" wrapText="1"/>
    </xf>
    <xf numFmtId="4" fontId="23" fillId="5" borderId="25" xfId="0" applyNumberFormat="1" applyFont="1" applyFill="1" applyBorder="1" applyAlignment="1">
      <alignment horizontal="center"/>
    </xf>
    <xf numFmtId="4" fontId="22" fillId="5" borderId="25" xfId="0" applyNumberFormat="1" applyFont="1" applyFill="1" applyBorder="1" applyAlignment="1">
      <alignment horizontal="center"/>
    </xf>
    <xf numFmtId="4" fontId="22" fillId="5" borderId="26" xfId="0" applyNumberFormat="1" applyFont="1" applyFill="1" applyBorder="1" applyAlignment="1">
      <alignment horizontal="center"/>
    </xf>
    <xf numFmtId="0" fontId="22" fillId="4" borderId="36" xfId="0" applyFont="1" applyFill="1" applyBorder="1" applyAlignment="1">
      <alignment horizontal="center" vertical="center"/>
    </xf>
    <xf numFmtId="0" fontId="22" fillId="4" borderId="37" xfId="0" applyFont="1" applyFill="1" applyBorder="1" applyAlignment="1">
      <alignment horizontal="center" vertical="center"/>
    </xf>
    <xf numFmtId="0" fontId="23" fillId="4" borderId="37" xfId="0" applyFont="1" applyFill="1" applyBorder="1" applyAlignment="1">
      <alignment horizontal="center" vertical="center"/>
    </xf>
    <xf numFmtId="0" fontId="22" fillId="4" borderId="37" xfId="0" applyFont="1" applyFill="1" applyBorder="1" applyAlignment="1">
      <alignment horizontal="left" vertical="center" wrapText="1"/>
    </xf>
    <xf numFmtId="4" fontId="23" fillId="4" borderId="37" xfId="0" applyNumberFormat="1" applyFont="1" applyFill="1" applyBorder="1" applyAlignment="1">
      <alignment horizontal="center" vertical="center"/>
    </xf>
    <xf numFmtId="4" fontId="22" fillId="4" borderId="37" xfId="0" applyNumberFormat="1" applyFont="1" applyFill="1" applyBorder="1" applyAlignment="1">
      <alignment horizontal="center" vertical="center"/>
    </xf>
    <xf numFmtId="4" fontId="22" fillId="4" borderId="38" xfId="0" applyNumberFormat="1" applyFont="1" applyFill="1" applyBorder="1" applyAlignment="1">
      <alignment horizontal="center" vertical="center"/>
    </xf>
    <xf numFmtId="0" fontId="22" fillId="15" borderId="24" xfId="0" applyFont="1" applyFill="1" applyBorder="1" applyAlignment="1">
      <alignment horizontal="left" vertical="center"/>
    </xf>
    <xf numFmtId="4" fontId="23" fillId="15" borderId="25" xfId="0" applyNumberFormat="1" applyFont="1" applyFill="1" applyBorder="1" applyAlignment="1">
      <alignment horizontal="center" vertical="center"/>
    </xf>
    <xf numFmtId="4" fontId="22" fillId="15" borderId="25" xfId="0" applyNumberFormat="1" applyFont="1" applyFill="1" applyBorder="1" applyAlignment="1">
      <alignment horizontal="center" vertical="center"/>
    </xf>
    <xf numFmtId="4" fontId="22" fillId="15" borderId="26" xfId="0" applyNumberFormat="1" applyFont="1" applyFill="1" applyBorder="1" applyAlignment="1">
      <alignment horizontal="center" vertical="center"/>
    </xf>
    <xf numFmtId="0" fontId="22" fillId="15" borderId="15" xfId="0" applyFont="1" applyFill="1" applyBorder="1" applyAlignment="1">
      <alignment horizontal="left" vertical="center"/>
    </xf>
    <xf numFmtId="4" fontId="23" fillId="15" borderId="16" xfId="0" applyNumberFormat="1" applyFont="1" applyFill="1" applyBorder="1" applyAlignment="1">
      <alignment horizontal="center" vertical="center"/>
    </xf>
    <xf numFmtId="4" fontId="22" fillId="15" borderId="16" xfId="0" applyNumberFormat="1" applyFont="1" applyFill="1" applyBorder="1" applyAlignment="1">
      <alignment horizontal="center" vertical="center"/>
    </xf>
    <xf numFmtId="4" fontId="22" fillId="15" borderId="17" xfId="0" applyNumberFormat="1" applyFont="1" applyFill="1" applyBorder="1" applyAlignment="1">
      <alignment horizontal="center" vertical="center"/>
    </xf>
    <xf numFmtId="0" fontId="22" fillId="15" borderId="31" xfId="0" applyFont="1" applyFill="1" applyBorder="1" applyAlignment="1">
      <alignment horizontal="left" vertical="center"/>
    </xf>
    <xf numFmtId="4" fontId="23" fillId="15" borderId="31" xfId="0" applyNumberFormat="1" applyFont="1" applyFill="1" applyBorder="1" applyAlignment="1">
      <alignment horizontal="center" vertical="center"/>
    </xf>
    <xf numFmtId="4" fontId="22" fillId="15" borderId="31" xfId="0" applyNumberFormat="1" applyFont="1" applyFill="1" applyBorder="1" applyAlignment="1">
      <alignment horizontal="center" vertical="center"/>
    </xf>
    <xf numFmtId="4" fontId="22" fillId="15" borderId="32" xfId="0" applyNumberFormat="1" applyFont="1" applyFill="1" applyBorder="1" applyAlignment="1">
      <alignment horizontal="center" vertical="center"/>
    </xf>
    <xf numFmtId="0" fontId="22" fillId="15" borderId="37" xfId="0" applyFont="1" applyFill="1" applyBorder="1" applyAlignment="1">
      <alignment horizontal="left" vertical="center"/>
    </xf>
    <xf numFmtId="4" fontId="23" fillId="15" borderId="37" xfId="0" applyNumberFormat="1" applyFont="1" applyFill="1" applyBorder="1" applyAlignment="1">
      <alignment horizontal="center" vertical="center"/>
    </xf>
    <xf numFmtId="4" fontId="22" fillId="15" borderId="37" xfId="0" applyNumberFormat="1" applyFont="1" applyFill="1" applyBorder="1" applyAlignment="1">
      <alignment horizontal="center" vertical="center"/>
    </xf>
    <xf numFmtId="4" fontId="22" fillId="15" borderId="38" xfId="0" applyNumberFormat="1" applyFont="1" applyFill="1" applyBorder="1" applyAlignment="1">
      <alignment horizontal="center" vertical="center"/>
    </xf>
    <xf numFmtId="0" fontId="22" fillId="15" borderId="6" xfId="0" applyFont="1" applyFill="1" applyBorder="1" applyAlignment="1">
      <alignment horizontal="left" vertical="center"/>
    </xf>
    <xf numFmtId="4" fontId="23" fillId="15" borderId="7" xfId="0" applyNumberFormat="1" applyFont="1" applyFill="1" applyBorder="1" applyAlignment="1">
      <alignment horizontal="center" vertical="center"/>
    </xf>
    <xf numFmtId="4" fontId="22" fillId="15" borderId="7" xfId="0" applyNumberFormat="1" applyFont="1" applyFill="1" applyBorder="1" applyAlignment="1">
      <alignment horizontal="center" vertical="center"/>
    </xf>
    <xf numFmtId="4" fontId="22" fillId="15" borderId="8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2" fillId="15" borderId="27" xfId="0" applyFont="1" applyFill="1" applyBorder="1" applyAlignment="1">
      <alignment horizontal="left" vertical="center"/>
    </xf>
    <xf numFmtId="4" fontId="23" fillId="15" borderId="28" xfId="0" applyNumberFormat="1" applyFont="1" applyFill="1" applyBorder="1" applyAlignment="1">
      <alignment horizontal="center" vertical="center"/>
    </xf>
    <xf numFmtId="4" fontId="22" fillId="15" borderId="28" xfId="0" applyNumberFormat="1" applyFont="1" applyFill="1" applyBorder="1" applyAlignment="1">
      <alignment horizontal="center" vertical="center"/>
    </xf>
    <xf numFmtId="4" fontId="22" fillId="15" borderId="29" xfId="0" applyNumberFormat="1" applyFont="1" applyFill="1" applyBorder="1" applyAlignment="1">
      <alignment horizontal="center" vertical="center"/>
    </xf>
    <xf numFmtId="0" fontId="22" fillId="15" borderId="19" xfId="0" applyFont="1" applyFill="1" applyBorder="1" applyAlignment="1">
      <alignment horizontal="left" vertical="center"/>
    </xf>
    <xf numFmtId="4" fontId="23" fillId="15" borderId="20" xfId="0" applyNumberFormat="1" applyFont="1" applyFill="1" applyBorder="1" applyAlignment="1">
      <alignment horizontal="center" vertical="center"/>
    </xf>
    <xf numFmtId="4" fontId="22" fillId="15" borderId="20" xfId="0" applyNumberFormat="1" applyFont="1" applyFill="1" applyBorder="1" applyAlignment="1">
      <alignment horizontal="center" vertical="center"/>
    </xf>
    <xf numFmtId="4" fontId="22" fillId="15" borderId="21" xfId="0" applyNumberFormat="1" applyFont="1" applyFill="1" applyBorder="1" applyAlignment="1">
      <alignment horizontal="center" vertical="center"/>
    </xf>
    <xf numFmtId="0" fontId="22" fillId="16" borderId="24" xfId="0" applyFont="1" applyFill="1" applyBorder="1" applyAlignment="1">
      <alignment horizontal="left" vertical="center"/>
    </xf>
    <xf numFmtId="4" fontId="23" fillId="16" borderId="25" xfId="0" applyNumberFormat="1" applyFont="1" applyFill="1" applyBorder="1" applyAlignment="1">
      <alignment horizontal="center" vertical="center"/>
    </xf>
    <xf numFmtId="4" fontId="22" fillId="16" borderId="25" xfId="0" applyNumberFormat="1" applyFont="1" applyFill="1" applyBorder="1" applyAlignment="1">
      <alignment horizontal="center" vertical="center"/>
    </xf>
    <xf numFmtId="4" fontId="22" fillId="16" borderId="26" xfId="0" applyNumberFormat="1" applyFont="1" applyFill="1" applyBorder="1" applyAlignment="1">
      <alignment horizontal="center" vertical="center"/>
    </xf>
    <xf numFmtId="0" fontId="22" fillId="16" borderId="19" xfId="0" applyFont="1" applyFill="1" applyBorder="1" applyAlignment="1">
      <alignment horizontal="left" vertical="center"/>
    </xf>
    <xf numFmtId="4" fontId="23" fillId="16" borderId="20" xfId="0" applyNumberFormat="1" applyFont="1" applyFill="1" applyBorder="1" applyAlignment="1">
      <alignment horizontal="center" vertical="center"/>
    </xf>
    <xf numFmtId="4" fontId="22" fillId="16" borderId="20" xfId="0" applyNumberFormat="1" applyFont="1" applyFill="1" applyBorder="1" applyAlignment="1">
      <alignment horizontal="center" vertical="center"/>
    </xf>
    <xf numFmtId="4" fontId="22" fillId="16" borderId="21" xfId="0" applyNumberFormat="1" applyFont="1" applyFill="1" applyBorder="1" applyAlignment="1">
      <alignment horizontal="center" vertical="center"/>
    </xf>
    <xf numFmtId="0" fontId="22" fillId="16" borderId="31" xfId="0" applyFont="1" applyFill="1" applyBorder="1" applyAlignment="1">
      <alignment horizontal="left" vertical="center"/>
    </xf>
    <xf numFmtId="4" fontId="23" fillId="16" borderId="31" xfId="0" applyNumberFormat="1" applyFont="1" applyFill="1" applyBorder="1" applyAlignment="1">
      <alignment horizontal="center" vertical="center"/>
    </xf>
    <xf numFmtId="4" fontId="22" fillId="16" borderId="31" xfId="0" applyNumberFormat="1" applyFont="1" applyFill="1" applyBorder="1" applyAlignment="1">
      <alignment horizontal="center" vertical="center"/>
    </xf>
    <xf numFmtId="4" fontId="22" fillId="16" borderId="32" xfId="0" applyNumberFormat="1" applyFont="1" applyFill="1" applyBorder="1" applyAlignment="1">
      <alignment horizontal="center" vertical="center"/>
    </xf>
    <xf numFmtId="0" fontId="22" fillId="16" borderId="37" xfId="0" applyFont="1" applyFill="1" applyBorder="1" applyAlignment="1">
      <alignment horizontal="left" vertical="center"/>
    </xf>
    <xf numFmtId="4" fontId="23" fillId="16" borderId="37" xfId="0" applyNumberFormat="1" applyFont="1" applyFill="1" applyBorder="1" applyAlignment="1">
      <alignment horizontal="center" vertical="center"/>
    </xf>
    <xf numFmtId="4" fontId="22" fillId="16" borderId="37" xfId="0" applyNumberFormat="1" applyFont="1" applyFill="1" applyBorder="1" applyAlignment="1">
      <alignment horizontal="center" vertical="center"/>
    </xf>
    <xf numFmtId="4" fontId="22" fillId="16" borderId="38" xfId="0" applyNumberFormat="1" applyFont="1" applyFill="1" applyBorder="1" applyAlignment="1">
      <alignment horizontal="center" vertical="center"/>
    </xf>
    <xf numFmtId="0" fontId="22" fillId="16" borderId="34" xfId="0" applyFont="1" applyFill="1" applyBorder="1" applyAlignment="1">
      <alignment horizontal="left" vertical="center"/>
    </xf>
    <xf numFmtId="4" fontId="23" fillId="16" borderId="34" xfId="0" applyNumberFormat="1" applyFont="1" applyFill="1" applyBorder="1" applyAlignment="1">
      <alignment horizontal="center" vertical="center"/>
    </xf>
    <xf numFmtId="4" fontId="22" fillId="16" borderId="34" xfId="0" applyNumberFormat="1" applyFont="1" applyFill="1" applyBorder="1" applyAlignment="1">
      <alignment horizontal="center" vertical="center"/>
    </xf>
    <xf numFmtId="4" fontId="22" fillId="16" borderId="35" xfId="0" applyNumberFormat="1" applyFont="1" applyFill="1" applyBorder="1" applyAlignment="1">
      <alignment horizontal="center" vertical="center"/>
    </xf>
    <xf numFmtId="0" fontId="22" fillId="16" borderId="25" xfId="0" applyFont="1" applyFill="1" applyBorder="1" applyAlignment="1">
      <alignment horizontal="left" vertical="center"/>
    </xf>
    <xf numFmtId="4" fontId="36" fillId="2" borderId="31" xfId="0" applyNumberFormat="1" applyFont="1" applyFill="1" applyBorder="1" applyAlignment="1">
      <alignment horizontal="center"/>
    </xf>
    <xf numFmtId="4" fontId="36" fillId="2" borderId="34" xfId="0" applyNumberFormat="1" applyFont="1" applyFill="1" applyBorder="1" applyAlignment="1">
      <alignment horizontal="center"/>
    </xf>
    <xf numFmtId="4" fontId="36" fillId="2" borderId="32" xfId="0" applyNumberFormat="1" applyFont="1" applyFill="1" applyBorder="1" applyAlignment="1">
      <alignment horizontal="center"/>
    </xf>
    <xf numFmtId="4" fontId="36" fillId="2" borderId="35" xfId="0" applyNumberFormat="1" applyFont="1" applyFill="1" applyBorder="1" applyAlignment="1">
      <alignment horizontal="center"/>
    </xf>
    <xf numFmtId="4" fontId="36" fillId="2" borderId="34" xfId="0" applyNumberFormat="1" applyFont="1" applyFill="1" applyBorder="1" applyAlignment="1">
      <alignment horizontal="center" vertical="center"/>
    </xf>
    <xf numFmtId="4" fontId="36" fillId="2" borderId="35" xfId="0" applyNumberFormat="1" applyFont="1" applyFill="1" applyBorder="1" applyAlignment="1">
      <alignment horizontal="center" vertical="center"/>
    </xf>
    <xf numFmtId="4" fontId="36" fillId="2" borderId="37" xfId="0" applyNumberFormat="1" applyFont="1" applyFill="1" applyBorder="1" applyAlignment="1">
      <alignment horizontal="center"/>
    </xf>
    <xf numFmtId="4" fontId="36" fillId="2" borderId="38" xfId="0" applyNumberFormat="1" applyFont="1" applyFill="1" applyBorder="1" applyAlignment="1">
      <alignment horizontal="center"/>
    </xf>
    <xf numFmtId="4" fontId="36" fillId="2" borderId="25" xfId="0" applyNumberFormat="1" applyFont="1" applyFill="1" applyBorder="1" applyAlignment="1">
      <alignment horizontal="center"/>
    </xf>
    <xf numFmtId="4" fontId="36" fillId="2" borderId="26" xfId="0" applyNumberFormat="1" applyFont="1" applyFill="1" applyBorder="1" applyAlignment="1">
      <alignment horizontal="center"/>
    </xf>
    <xf numFmtId="4" fontId="36" fillId="2" borderId="31" xfId="0" applyNumberFormat="1" applyFont="1" applyFill="1" applyBorder="1" applyAlignment="1">
      <alignment horizontal="center" vertical="center"/>
    </xf>
    <xf numFmtId="4" fontId="36" fillId="2" borderId="32" xfId="0" applyNumberFormat="1" applyFont="1" applyFill="1" applyBorder="1" applyAlignment="1">
      <alignment horizontal="center" vertical="center"/>
    </xf>
    <xf numFmtId="4" fontId="36" fillId="2" borderId="1" xfId="0" applyNumberFormat="1" applyFont="1" applyFill="1" applyBorder="1" applyAlignment="1">
      <alignment horizontal="center" vertical="center"/>
    </xf>
    <xf numFmtId="4" fontId="36" fillId="2" borderId="42" xfId="0" applyNumberFormat="1" applyFont="1" applyFill="1" applyBorder="1" applyAlignment="1">
      <alignment horizontal="center" vertical="center"/>
    </xf>
    <xf numFmtId="4" fontId="36" fillId="2" borderId="37" xfId="0" applyNumberFormat="1" applyFont="1" applyFill="1" applyBorder="1" applyAlignment="1">
      <alignment horizontal="center" vertical="center"/>
    </xf>
    <xf numFmtId="4" fontId="36" fillId="2" borderId="38" xfId="0" applyNumberFormat="1" applyFont="1" applyFill="1" applyBorder="1" applyAlignment="1">
      <alignment horizontal="center" vertical="center"/>
    </xf>
    <xf numFmtId="4" fontId="22" fillId="19" borderId="31" xfId="0" applyNumberFormat="1" applyFont="1" applyFill="1" applyBorder="1" applyAlignment="1">
      <alignment horizontal="center"/>
    </xf>
    <xf numFmtId="4" fontId="22" fillId="19" borderId="32" xfId="0" applyNumberFormat="1" applyFont="1" applyFill="1" applyBorder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4" fontId="36" fillId="2" borderId="4" xfId="0" applyNumberFormat="1" applyFont="1" applyFill="1" applyBorder="1" applyAlignment="1">
      <alignment horizontal="center"/>
    </xf>
    <xf numFmtId="4" fontId="36" fillId="2" borderId="1" xfId="0" applyNumberFormat="1" applyFont="1" applyFill="1" applyBorder="1" applyAlignment="1">
      <alignment horizontal="center"/>
    </xf>
    <xf numFmtId="4" fontId="22" fillId="24" borderId="37" xfId="0" applyNumberFormat="1" applyFont="1" applyFill="1" applyBorder="1" applyAlignment="1">
      <alignment horizontal="center" vertical="center"/>
    </xf>
    <xf numFmtId="4" fontId="22" fillId="24" borderId="38" xfId="0" applyNumberFormat="1" applyFont="1" applyFill="1" applyBorder="1" applyAlignment="1">
      <alignment horizontal="center" vertical="center"/>
    </xf>
    <xf numFmtId="0" fontId="22" fillId="24" borderId="37" xfId="0" applyFont="1" applyFill="1" applyBorder="1" applyAlignment="1">
      <alignment horizontal="left" vertical="center"/>
    </xf>
    <xf numFmtId="4" fontId="23" fillId="24" borderId="37" xfId="0" applyNumberFormat="1" applyFont="1" applyFill="1" applyBorder="1" applyAlignment="1">
      <alignment horizontal="center" vertical="center"/>
    </xf>
    <xf numFmtId="0" fontId="22" fillId="17" borderId="31" xfId="0" applyFont="1" applyFill="1" applyBorder="1" applyAlignment="1">
      <alignment horizontal="left" vertical="center"/>
    </xf>
    <xf numFmtId="4" fontId="23" fillId="17" borderId="31" xfId="0" applyNumberFormat="1" applyFont="1" applyFill="1" applyBorder="1" applyAlignment="1">
      <alignment horizontal="center" vertical="center"/>
    </xf>
    <xf numFmtId="4" fontId="22" fillId="17" borderId="31" xfId="0" applyNumberFormat="1" applyFont="1" applyFill="1" applyBorder="1" applyAlignment="1">
      <alignment horizontal="center" vertical="center"/>
    </xf>
    <xf numFmtId="4" fontId="22" fillId="17" borderId="32" xfId="0" applyNumberFormat="1" applyFont="1" applyFill="1" applyBorder="1" applyAlignment="1">
      <alignment horizontal="center" vertical="center"/>
    </xf>
    <xf numFmtId="0" fontId="22" fillId="18" borderId="2" xfId="0" applyFont="1" applyFill="1" applyBorder="1" applyAlignment="1">
      <alignment horizontal="left" vertical="center"/>
    </xf>
    <xf numFmtId="4" fontId="23" fillId="18" borderId="2" xfId="0" applyNumberFormat="1" applyFont="1" applyFill="1" applyBorder="1" applyAlignment="1">
      <alignment horizontal="center" vertical="center"/>
    </xf>
    <xf numFmtId="4" fontId="22" fillId="18" borderId="2" xfId="0" applyNumberFormat="1" applyFont="1" applyFill="1" applyBorder="1" applyAlignment="1">
      <alignment horizontal="center" vertical="center"/>
    </xf>
    <xf numFmtId="4" fontId="22" fillId="18" borderId="18" xfId="0" applyNumberFormat="1" applyFont="1" applyFill="1" applyBorder="1" applyAlignment="1">
      <alignment horizontal="center" vertical="center"/>
    </xf>
    <xf numFmtId="0" fontId="22" fillId="17" borderId="2" xfId="0" applyFont="1" applyFill="1" applyBorder="1" applyAlignment="1">
      <alignment horizontal="left" vertical="center"/>
    </xf>
    <xf numFmtId="4" fontId="23" fillId="17" borderId="2" xfId="0" applyNumberFormat="1" applyFont="1" applyFill="1" applyBorder="1" applyAlignment="1">
      <alignment horizontal="center" vertical="center"/>
    </xf>
    <xf numFmtId="4" fontId="22" fillId="17" borderId="2" xfId="0" applyNumberFormat="1" applyFont="1" applyFill="1" applyBorder="1" applyAlignment="1">
      <alignment horizontal="center" vertical="center"/>
    </xf>
    <xf numFmtId="4" fontId="22" fillId="17" borderId="18" xfId="0" applyNumberFormat="1" applyFont="1" applyFill="1" applyBorder="1" applyAlignment="1">
      <alignment horizontal="center" vertical="center"/>
    </xf>
    <xf numFmtId="0" fontId="22" fillId="16" borderId="2" xfId="0" applyFont="1" applyFill="1" applyBorder="1" applyAlignment="1">
      <alignment horizontal="left" vertical="center"/>
    </xf>
    <xf numFmtId="4" fontId="23" fillId="16" borderId="2" xfId="0" applyNumberFormat="1" applyFont="1" applyFill="1" applyBorder="1" applyAlignment="1">
      <alignment horizontal="center" vertical="center"/>
    </xf>
    <xf numFmtId="4" fontId="22" fillId="16" borderId="18" xfId="0" applyNumberFormat="1" applyFont="1" applyFill="1" applyBorder="1" applyAlignment="1">
      <alignment horizontal="center" vertical="center"/>
    </xf>
    <xf numFmtId="0" fontId="22" fillId="15" borderId="34" xfId="0" applyFont="1" applyFill="1" applyBorder="1" applyAlignment="1">
      <alignment horizontal="left" vertical="center"/>
    </xf>
    <xf numFmtId="4" fontId="23" fillId="15" borderId="34" xfId="0" applyNumberFormat="1" applyFont="1" applyFill="1" applyBorder="1" applyAlignment="1">
      <alignment horizontal="center" vertical="center"/>
    </xf>
    <xf numFmtId="4" fontId="22" fillId="15" borderId="34" xfId="0" applyNumberFormat="1" applyFont="1" applyFill="1" applyBorder="1" applyAlignment="1">
      <alignment horizontal="center" vertical="center"/>
    </xf>
    <xf numFmtId="4" fontId="22" fillId="15" borderId="35" xfId="0" applyNumberFormat="1" applyFont="1" applyFill="1" applyBorder="1" applyAlignment="1">
      <alignment horizontal="center" vertical="center"/>
    </xf>
    <xf numFmtId="0" fontId="22" fillId="17" borderId="34" xfId="0" applyFont="1" applyFill="1" applyBorder="1" applyAlignment="1">
      <alignment horizontal="left" vertical="center"/>
    </xf>
    <xf numFmtId="4" fontId="23" fillId="17" borderId="34" xfId="0" applyNumberFormat="1" applyFont="1" applyFill="1" applyBorder="1" applyAlignment="1">
      <alignment horizontal="center" vertical="center"/>
    </xf>
    <xf numFmtId="4" fontId="22" fillId="17" borderId="34" xfId="0" applyNumberFormat="1" applyFont="1" applyFill="1" applyBorder="1" applyAlignment="1">
      <alignment horizontal="center" vertical="center"/>
    </xf>
    <xf numFmtId="4" fontId="22" fillId="17" borderId="35" xfId="0" applyNumberFormat="1" applyFont="1" applyFill="1" applyBorder="1" applyAlignment="1">
      <alignment horizontal="center" vertical="center"/>
    </xf>
    <xf numFmtId="0" fontId="22" fillId="18" borderId="37" xfId="0" applyFont="1" applyFill="1" applyBorder="1" applyAlignment="1">
      <alignment horizontal="left" vertical="center"/>
    </xf>
    <xf numFmtId="4" fontId="23" fillId="18" borderId="37" xfId="0" applyNumberFormat="1" applyFont="1" applyFill="1" applyBorder="1" applyAlignment="1">
      <alignment horizontal="center" vertical="center"/>
    </xf>
    <xf numFmtId="4" fontId="22" fillId="18" borderId="37" xfId="0" applyNumberFormat="1" applyFont="1" applyFill="1" applyBorder="1" applyAlignment="1">
      <alignment horizontal="center" vertical="center"/>
    </xf>
    <xf numFmtId="4" fontId="22" fillId="18" borderId="38" xfId="0" applyNumberFormat="1" applyFont="1" applyFill="1" applyBorder="1" applyAlignment="1">
      <alignment horizontal="center" vertical="center"/>
    </xf>
    <xf numFmtId="0" fontId="22" fillId="16" borderId="20" xfId="0" applyFont="1" applyFill="1" applyBorder="1" applyAlignment="1">
      <alignment horizontal="left" vertical="center"/>
    </xf>
    <xf numFmtId="0" fontId="22" fillId="16" borderId="16" xfId="0" applyFont="1" applyFill="1" applyBorder="1" applyAlignment="1">
      <alignment horizontal="left" vertical="center"/>
    </xf>
    <xf numFmtId="4" fontId="23" fillId="16" borderId="16" xfId="0" applyNumberFormat="1" applyFont="1" applyFill="1" applyBorder="1" applyAlignment="1">
      <alignment horizontal="center" vertical="center"/>
    </xf>
    <xf numFmtId="4" fontId="22" fillId="16" borderId="16" xfId="0" applyNumberFormat="1" applyFont="1" applyFill="1" applyBorder="1" applyAlignment="1">
      <alignment horizontal="center" vertical="center"/>
    </xf>
    <xf numFmtId="4" fontId="22" fillId="16" borderId="17" xfId="0" applyNumberFormat="1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left" vertical="center" wrapText="1"/>
    </xf>
    <xf numFmtId="4" fontId="23" fillId="16" borderId="52" xfId="0" applyNumberFormat="1" applyFont="1" applyFill="1" applyBorder="1" applyAlignment="1">
      <alignment horizontal="center" vertical="center"/>
    </xf>
    <xf numFmtId="4" fontId="22" fillId="16" borderId="14" xfId="0" applyNumberFormat="1" applyFont="1" applyFill="1" applyBorder="1" applyAlignment="1">
      <alignment horizontal="center" vertical="center"/>
    </xf>
    <xf numFmtId="4" fontId="22" fillId="16" borderId="51" xfId="0" applyNumberFormat="1" applyFont="1" applyFill="1" applyBorder="1" applyAlignment="1">
      <alignment horizontal="center" vertical="center"/>
    </xf>
    <xf numFmtId="0" fontId="22" fillId="16" borderId="30" xfId="0" applyFont="1" applyFill="1" applyBorder="1" applyAlignment="1">
      <alignment horizontal="left" vertical="center"/>
    </xf>
    <xf numFmtId="0" fontId="22" fillId="15" borderId="36" xfId="0" applyFont="1" applyFill="1" applyBorder="1" applyAlignment="1">
      <alignment horizontal="left" vertical="center"/>
    </xf>
    <xf numFmtId="0" fontId="22" fillId="16" borderId="36" xfId="0" applyFont="1" applyFill="1" applyBorder="1" applyAlignment="1">
      <alignment horizontal="left" vertical="center"/>
    </xf>
    <xf numFmtId="0" fontId="22" fillId="15" borderId="45" xfId="0" applyFont="1" applyFill="1" applyBorder="1" applyAlignment="1">
      <alignment horizontal="left" vertical="center"/>
    </xf>
    <xf numFmtId="4" fontId="22" fillId="15" borderId="43" xfId="0" applyNumberFormat="1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4" fontId="23" fillId="4" borderId="16" xfId="0" applyNumberFormat="1" applyFont="1" applyFill="1" applyBorder="1" applyAlignment="1">
      <alignment horizontal="center" vertical="center"/>
    </xf>
    <xf numFmtId="4" fontId="23" fillId="5" borderId="2" xfId="0" applyNumberFormat="1" applyFont="1" applyFill="1" applyBorder="1" applyAlignment="1">
      <alignment horizontal="center" vertical="center"/>
    </xf>
    <xf numFmtId="4" fontId="23" fillId="6" borderId="2" xfId="0" applyNumberFormat="1" applyFont="1" applyFill="1" applyBorder="1" applyAlignment="1">
      <alignment horizontal="center" vertical="center"/>
    </xf>
    <xf numFmtId="4" fontId="23" fillId="7" borderId="20" xfId="0" applyNumberFormat="1" applyFont="1" applyFill="1" applyBorder="1" applyAlignment="1">
      <alignment horizontal="center" vertical="center"/>
    </xf>
    <xf numFmtId="4" fontId="36" fillId="2" borderId="25" xfId="0" applyNumberFormat="1" applyFont="1" applyFill="1" applyBorder="1" applyAlignment="1">
      <alignment horizontal="center" vertical="center"/>
    </xf>
    <xf numFmtId="4" fontId="36" fillId="2" borderId="26" xfId="0" applyNumberFormat="1" applyFont="1" applyFill="1" applyBorder="1" applyAlignment="1">
      <alignment horizontal="center" vertical="center"/>
    </xf>
    <xf numFmtId="4" fontId="36" fillId="2" borderId="16" xfId="0" applyNumberFormat="1" applyFont="1" applyFill="1" applyBorder="1" applyAlignment="1">
      <alignment horizontal="center" vertical="center"/>
    </xf>
    <xf numFmtId="4" fontId="36" fillId="2" borderId="17" xfId="0" applyNumberFormat="1" applyFont="1" applyFill="1" applyBorder="1" applyAlignment="1">
      <alignment horizontal="center" vertical="center"/>
    </xf>
    <xf numFmtId="4" fontId="36" fillId="2" borderId="42" xfId="0" applyNumberFormat="1" applyFont="1" applyFill="1" applyBorder="1" applyAlignment="1">
      <alignment horizontal="center"/>
    </xf>
    <xf numFmtId="4" fontId="36" fillId="0" borderId="34" xfId="0" applyNumberFormat="1" applyFont="1" applyBorder="1" applyAlignment="1">
      <alignment horizontal="center" vertical="center"/>
    </xf>
    <xf numFmtId="4" fontId="36" fillId="0" borderId="35" xfId="0" applyNumberFormat="1" applyFont="1" applyBorder="1" applyAlignment="1">
      <alignment horizontal="center" vertical="center"/>
    </xf>
    <xf numFmtId="4" fontId="37" fillId="0" borderId="0" xfId="0" applyNumberFormat="1" applyFont="1" applyAlignment="1">
      <alignment horizontal="center"/>
    </xf>
    <xf numFmtId="4" fontId="37" fillId="0" borderId="0" xfId="0" applyNumberFormat="1" applyFont="1" applyAlignment="1">
      <alignment horizontal="center" vertical="center"/>
    </xf>
    <xf numFmtId="4" fontId="37" fillId="0" borderId="0" xfId="0" applyNumberFormat="1" applyFont="1"/>
    <xf numFmtId="4" fontId="37" fillId="0" borderId="0" xfId="0" quotePrefix="1" applyNumberFormat="1" applyFont="1" applyAlignment="1">
      <alignment horizontal="center"/>
    </xf>
    <xf numFmtId="0" fontId="22" fillId="15" borderId="25" xfId="0" applyFont="1" applyFill="1" applyBorder="1" applyAlignment="1">
      <alignment horizontal="left" vertical="center"/>
    </xf>
    <xf numFmtId="0" fontId="22" fillId="17" borderId="20" xfId="0" applyFont="1" applyFill="1" applyBorder="1" applyAlignment="1">
      <alignment horizontal="left" vertical="center"/>
    </xf>
    <xf numFmtId="4" fontId="23" fillId="17" borderId="20" xfId="0" applyNumberFormat="1" applyFont="1" applyFill="1" applyBorder="1" applyAlignment="1">
      <alignment horizontal="center" vertical="center"/>
    </xf>
    <xf numFmtId="4" fontId="22" fillId="17" borderId="20" xfId="0" applyNumberFormat="1" applyFont="1" applyFill="1" applyBorder="1" applyAlignment="1">
      <alignment horizontal="center" vertical="center"/>
    </xf>
    <xf numFmtId="4" fontId="22" fillId="17" borderId="21" xfId="0" applyNumberFormat="1" applyFont="1" applyFill="1" applyBorder="1" applyAlignment="1">
      <alignment horizontal="center" vertical="center"/>
    </xf>
    <xf numFmtId="0" fontId="22" fillId="17" borderId="25" xfId="0" applyFont="1" applyFill="1" applyBorder="1" applyAlignment="1">
      <alignment horizontal="left" vertical="center"/>
    </xf>
    <xf numFmtId="4" fontId="23" fillId="17" borderId="25" xfId="0" applyNumberFormat="1" applyFont="1" applyFill="1" applyBorder="1" applyAlignment="1">
      <alignment horizontal="center" vertical="center"/>
    </xf>
    <xf numFmtId="4" fontId="22" fillId="17" borderId="25" xfId="0" applyNumberFormat="1" applyFont="1" applyFill="1" applyBorder="1" applyAlignment="1">
      <alignment horizontal="center" vertical="center"/>
    </xf>
    <xf numFmtId="4" fontId="22" fillId="17" borderId="26" xfId="0" applyNumberFormat="1" applyFont="1" applyFill="1" applyBorder="1" applyAlignment="1">
      <alignment horizontal="center" vertical="center"/>
    </xf>
    <xf numFmtId="0" fontId="22" fillId="15" borderId="20" xfId="0" applyFont="1" applyFill="1" applyBorder="1" applyAlignment="1">
      <alignment horizontal="left" vertical="center"/>
    </xf>
    <xf numFmtId="0" fontId="22" fillId="15" borderId="16" xfId="0" applyFont="1" applyFill="1" applyBorder="1" applyAlignment="1">
      <alignment horizontal="left" vertical="center"/>
    </xf>
    <xf numFmtId="0" fontId="22" fillId="17" borderId="37" xfId="0" applyFont="1" applyFill="1" applyBorder="1" applyAlignment="1">
      <alignment horizontal="left" vertical="center"/>
    </xf>
    <xf numFmtId="4" fontId="23" fillId="17" borderId="37" xfId="0" applyNumberFormat="1" applyFont="1" applyFill="1" applyBorder="1" applyAlignment="1">
      <alignment horizontal="center" vertical="center"/>
    </xf>
    <xf numFmtId="4" fontId="22" fillId="17" borderId="37" xfId="0" applyNumberFormat="1" applyFont="1" applyFill="1" applyBorder="1" applyAlignment="1">
      <alignment horizontal="center" vertical="center"/>
    </xf>
    <xf numFmtId="4" fontId="22" fillId="17" borderId="38" xfId="0" applyNumberFormat="1" applyFont="1" applyFill="1" applyBorder="1" applyAlignment="1">
      <alignment horizontal="center" vertical="center"/>
    </xf>
    <xf numFmtId="4" fontId="36" fillId="2" borderId="40" xfId="0" applyNumberFormat="1" applyFont="1" applyFill="1" applyBorder="1" applyAlignment="1">
      <alignment horizontal="center"/>
    </xf>
    <xf numFmtId="4" fontId="36" fillId="2" borderId="4" xfId="0" applyNumberFormat="1" applyFont="1" applyFill="1" applyBorder="1" applyAlignment="1">
      <alignment horizontal="center" vertical="center"/>
    </xf>
    <xf numFmtId="4" fontId="36" fillId="2" borderId="40" xfId="0" applyNumberFormat="1" applyFont="1" applyFill="1" applyBorder="1" applyAlignment="1">
      <alignment horizontal="center" vertical="center"/>
    </xf>
    <xf numFmtId="0" fontId="22" fillId="18" borderId="34" xfId="0" applyFont="1" applyFill="1" applyBorder="1" applyAlignment="1">
      <alignment horizontal="left" vertical="center"/>
    </xf>
    <xf numFmtId="4" fontId="23" fillId="18" borderId="34" xfId="0" applyNumberFormat="1" applyFont="1" applyFill="1" applyBorder="1" applyAlignment="1">
      <alignment horizontal="center" vertical="center"/>
    </xf>
    <xf numFmtId="4" fontId="22" fillId="18" borderId="34" xfId="0" applyNumberFormat="1" applyFont="1" applyFill="1" applyBorder="1" applyAlignment="1">
      <alignment horizontal="center" vertical="center"/>
    </xf>
    <xf numFmtId="4" fontId="22" fillId="18" borderId="35" xfId="0" applyNumberFormat="1" applyFont="1" applyFill="1" applyBorder="1" applyAlignment="1">
      <alignment horizontal="center" vertical="center"/>
    </xf>
    <xf numFmtId="0" fontId="22" fillId="23" borderId="37" xfId="0" applyFont="1" applyFill="1" applyBorder="1" applyAlignment="1">
      <alignment horizontal="left" vertical="center"/>
    </xf>
    <xf numFmtId="4" fontId="23" fillId="23" borderId="37" xfId="0" applyNumberFormat="1" applyFont="1" applyFill="1" applyBorder="1" applyAlignment="1">
      <alignment horizontal="center" vertical="center"/>
    </xf>
    <xf numFmtId="4" fontId="22" fillId="23" borderId="37" xfId="0" applyNumberFormat="1" applyFont="1" applyFill="1" applyBorder="1" applyAlignment="1">
      <alignment horizontal="center" vertical="center"/>
    </xf>
    <xf numFmtId="4" fontId="22" fillId="23" borderId="38" xfId="0" applyNumberFormat="1" applyFont="1" applyFill="1" applyBorder="1" applyAlignment="1">
      <alignment horizontal="center" vertical="center"/>
    </xf>
    <xf numFmtId="4" fontId="23" fillId="15" borderId="25" xfId="0" applyNumberFormat="1" applyFont="1" applyFill="1" applyBorder="1" applyAlignment="1">
      <alignment horizontal="center"/>
    </xf>
    <xf numFmtId="4" fontId="22" fillId="15" borderId="25" xfId="0" applyNumberFormat="1" applyFont="1" applyFill="1" applyBorder="1" applyAlignment="1">
      <alignment horizontal="center"/>
    </xf>
    <xf numFmtId="4" fontId="22" fillId="15" borderId="26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27" borderId="9" xfId="0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0" fontId="6" fillId="0" borderId="10" xfId="0" applyNumberFormat="1" applyFont="1" applyBorder="1" applyAlignment="1" applyProtection="1">
      <alignment horizontal="center"/>
    </xf>
    <xf numFmtId="49" fontId="6" fillId="0" borderId="9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10" fontId="6" fillId="0" borderId="10" xfId="0" applyNumberFormat="1" applyFont="1" applyBorder="1" applyAlignment="1" applyProtection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10" fontId="5" fillId="0" borderId="10" xfId="0" applyNumberFormat="1" applyFont="1" applyBorder="1" applyAlignment="1" applyProtection="1">
      <alignment horizontal="center" vertical="center"/>
    </xf>
    <xf numFmtId="164" fontId="5" fillId="0" borderId="0" xfId="0" applyNumberFormat="1" applyFont="1" applyBorder="1"/>
    <xf numFmtId="0" fontId="2" fillId="26" borderId="9" xfId="0" applyFont="1" applyFill="1" applyBorder="1" applyAlignment="1">
      <alignment horizontal="center"/>
    </xf>
    <xf numFmtId="0" fontId="2" fillId="26" borderId="0" xfId="0" applyFont="1" applyFill="1" applyBorder="1" applyAlignment="1">
      <alignment horizontal="center"/>
    </xf>
    <xf numFmtId="0" fontId="2" fillId="26" borderId="10" xfId="0" applyFont="1" applyFill="1" applyBorder="1" applyAlignment="1">
      <alignment horizontal="center"/>
    </xf>
    <xf numFmtId="0" fontId="25" fillId="0" borderId="0" xfId="0" applyFont="1" applyAlignment="1">
      <alignment horizontal="left" vertical="center"/>
    </xf>
    <xf numFmtId="0" fontId="25" fillId="0" borderId="0" xfId="0" applyFont="1"/>
    <xf numFmtId="10" fontId="25" fillId="27" borderId="51" xfId="2" applyNumberFormat="1" applyFont="1" applyFill="1" applyBorder="1" applyAlignment="1" applyProtection="1">
      <alignment horizontal="center"/>
    </xf>
    <xf numFmtId="0" fontId="3" fillId="27" borderId="0" xfId="0" applyFont="1" applyFill="1" applyBorder="1" applyAlignment="1">
      <alignment horizontal="center"/>
    </xf>
    <xf numFmtId="0" fontId="4" fillId="26" borderId="9" xfId="0" applyFont="1" applyFill="1" applyBorder="1" applyAlignment="1">
      <alignment horizontal="center" vertical="center"/>
    </xf>
    <xf numFmtId="0" fontId="4" fillId="26" borderId="0" xfId="0" applyFont="1" applyFill="1" applyBorder="1" applyAlignment="1">
      <alignment horizontal="center" vertical="center"/>
    </xf>
    <xf numFmtId="0" fontId="4" fillId="26" borderId="1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49" fontId="40" fillId="0" borderId="24" xfId="0" applyNumberFormat="1" applyFont="1" applyBorder="1" applyAlignment="1">
      <alignment horizontal="center" vertical="center"/>
    </xf>
    <xf numFmtId="164" fontId="40" fillId="0" borderId="25" xfId="0" applyNumberFormat="1" applyFont="1" applyBorder="1" applyAlignment="1">
      <alignment horizontal="center" vertical="center" wrapText="1"/>
    </xf>
    <xf numFmtId="10" fontId="40" fillId="0" borderId="25" xfId="0" applyNumberFormat="1" applyFont="1" applyBorder="1" applyAlignment="1" applyProtection="1">
      <alignment horizontal="center" vertical="center"/>
    </xf>
    <xf numFmtId="10" fontId="40" fillId="0" borderId="26" xfId="0" applyNumberFormat="1" applyFont="1" applyBorder="1" applyAlignment="1" applyProtection="1">
      <alignment horizontal="center" vertical="center" wrapText="1"/>
    </xf>
    <xf numFmtId="10" fontId="40" fillId="0" borderId="25" xfId="0" applyNumberFormat="1" applyFont="1" applyBorder="1" applyAlignment="1" applyProtection="1">
      <alignment horizontal="center" vertical="center" wrapText="1"/>
    </xf>
    <xf numFmtId="49" fontId="39" fillId="0" borderId="27" xfId="0" applyNumberFormat="1" applyFont="1" applyBorder="1" applyAlignment="1">
      <alignment horizontal="center" vertical="center"/>
    </xf>
    <xf numFmtId="164" fontId="39" fillId="0" borderId="28" xfId="0" applyNumberFormat="1" applyFont="1" applyBorder="1" applyAlignment="1">
      <alignment horizontal="right" vertical="center"/>
    </xf>
    <xf numFmtId="10" fontId="39" fillId="0" borderId="28" xfId="0" applyNumberFormat="1" applyFont="1" applyBorder="1" applyAlignment="1" applyProtection="1">
      <alignment horizontal="center" vertical="center"/>
    </xf>
    <xf numFmtId="10" fontId="6" fillId="0" borderId="28" xfId="0" applyNumberFormat="1" applyFont="1" applyBorder="1" applyAlignment="1" applyProtection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10" fontId="27" fillId="28" borderId="51" xfId="0" applyNumberFormat="1" applyFont="1" applyFill="1" applyBorder="1" applyAlignment="1" applyProtection="1">
      <alignment horizontal="center" vertical="center"/>
    </xf>
    <xf numFmtId="10" fontId="39" fillId="30" borderId="29" xfId="0" applyNumberFormat="1" applyFont="1" applyFill="1" applyBorder="1" applyAlignment="1" applyProtection="1">
      <alignment horizontal="center" vertical="center"/>
    </xf>
    <xf numFmtId="49" fontId="29" fillId="0" borderId="27" xfId="0" applyNumberFormat="1" applyFont="1" applyBorder="1" applyAlignment="1">
      <alignment horizontal="center" vertical="center"/>
    </xf>
    <xf numFmtId="10" fontId="29" fillId="0" borderId="28" xfId="0" applyNumberFormat="1" applyFont="1" applyBorder="1" applyAlignment="1" applyProtection="1">
      <alignment horizontal="center" vertical="center"/>
    </xf>
    <xf numFmtId="164" fontId="39" fillId="0" borderId="28" xfId="0" applyNumberFormat="1" applyFont="1" applyBorder="1" applyAlignment="1">
      <alignment horizontal="center" vertical="center"/>
    </xf>
    <xf numFmtId="10" fontId="39" fillId="30" borderId="51" xfId="0" applyNumberFormat="1" applyFont="1" applyFill="1" applyBorder="1" applyAlignment="1" applyProtection="1">
      <alignment horizontal="center" vertical="center"/>
    </xf>
    <xf numFmtId="164" fontId="39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1" fillId="25" borderId="6" xfId="0" applyFont="1" applyFill="1" applyBorder="1" applyAlignment="1">
      <alignment horizontal="center" vertical="center"/>
    </xf>
    <xf numFmtId="0" fontId="1" fillId="25" borderId="7" xfId="0" applyFont="1" applyFill="1" applyBorder="1" applyAlignment="1">
      <alignment horizontal="center" vertical="center"/>
    </xf>
    <xf numFmtId="0" fontId="1" fillId="25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10" fontId="24" fillId="0" borderId="51" xfId="2" applyNumberFormat="1" applyFont="1" applyBorder="1" applyAlignment="1" applyProtection="1">
      <alignment horizontal="center"/>
    </xf>
    <xf numFmtId="49" fontId="38" fillId="0" borderId="27" xfId="0" applyNumberFormat="1" applyFont="1" applyBorder="1" applyAlignment="1">
      <alignment horizontal="center"/>
    </xf>
    <xf numFmtId="49" fontId="38" fillId="0" borderId="28" xfId="0" applyNumberFormat="1" applyFont="1" applyBorder="1" applyAlignment="1">
      <alignment horizontal="center"/>
    </xf>
    <xf numFmtId="10" fontId="31" fillId="0" borderId="28" xfId="0" applyNumberFormat="1" applyFont="1" applyBorder="1" applyAlignment="1" applyProtection="1">
      <alignment horizontal="center"/>
    </xf>
    <xf numFmtId="49" fontId="31" fillId="0" borderId="27" xfId="0" applyNumberFormat="1" applyFont="1" applyBorder="1" applyAlignment="1">
      <alignment horizontal="center"/>
    </xf>
    <xf numFmtId="164" fontId="38" fillId="0" borderId="28" xfId="0" applyNumberFormat="1" applyFont="1" applyBorder="1" applyAlignment="1">
      <alignment horizontal="center"/>
    </xf>
    <xf numFmtId="10" fontId="38" fillId="0" borderId="28" xfId="0" applyNumberFormat="1" applyFont="1" applyBorder="1" applyAlignment="1" applyProtection="1">
      <alignment horizontal="center"/>
    </xf>
    <xf numFmtId="164" fontId="38" fillId="0" borderId="28" xfId="0" applyNumberFormat="1" applyFont="1" applyBorder="1" applyAlignment="1">
      <alignment horizontal="right"/>
    </xf>
    <xf numFmtId="164" fontId="38" fillId="0" borderId="0" xfId="0" applyNumberFormat="1" applyFont="1" applyBorder="1"/>
    <xf numFmtId="10" fontId="39" fillId="28" borderId="51" xfId="0" applyNumberFormat="1" applyFont="1" applyFill="1" applyBorder="1" applyAlignment="1" applyProtection="1">
      <alignment horizontal="center"/>
    </xf>
    <xf numFmtId="10" fontId="38" fillId="29" borderId="51" xfId="0" applyNumberFormat="1" applyFont="1" applyFill="1" applyBorder="1" applyAlignment="1" applyProtection="1">
      <alignment horizontal="center"/>
    </xf>
    <xf numFmtId="164" fontId="38" fillId="0" borderId="24" xfId="3" applyNumberFormat="1" applyFont="1" applyBorder="1" applyAlignment="1" applyProtection="1">
      <alignment horizontal="center"/>
    </xf>
    <xf numFmtId="164" fontId="38" fillId="0" borderId="25" xfId="3" applyNumberFormat="1" applyFont="1" applyBorder="1" applyAlignment="1" applyProtection="1">
      <alignment horizontal="center"/>
    </xf>
    <xf numFmtId="164" fontId="38" fillId="0" borderId="26" xfId="3" applyNumberFormat="1" applyFont="1" applyBorder="1" applyAlignment="1" applyProtection="1">
      <alignment horizontal="center"/>
    </xf>
    <xf numFmtId="49" fontId="13" fillId="31" borderId="0" xfId="3" applyNumberFormat="1" applyFont="1" applyFill="1" applyBorder="1" applyAlignment="1" applyProtection="1">
      <alignment horizontal="center"/>
      <protection hidden="1"/>
    </xf>
    <xf numFmtId="49" fontId="13" fillId="31" borderId="6" xfId="3" applyNumberFormat="1" applyFont="1" applyFill="1" applyBorder="1" applyAlignment="1" applyProtection="1">
      <alignment horizontal="center"/>
      <protection hidden="1"/>
    </xf>
    <xf numFmtId="49" fontId="13" fillId="31" borderId="7" xfId="3" applyNumberFormat="1" applyFont="1" applyFill="1" applyBorder="1" applyAlignment="1" applyProtection="1">
      <alignment horizontal="center"/>
      <protection hidden="1"/>
    </xf>
    <xf numFmtId="49" fontId="13" fillId="31" borderId="8" xfId="3" applyNumberFormat="1" applyFont="1" applyFill="1" applyBorder="1" applyAlignment="1" applyProtection="1">
      <alignment horizontal="center"/>
      <protection hidden="1"/>
    </xf>
    <xf numFmtId="49" fontId="13" fillId="31" borderId="9" xfId="3" applyNumberFormat="1" applyFont="1" applyFill="1" applyBorder="1" applyAlignment="1" applyProtection="1">
      <alignment horizontal="center"/>
      <protection hidden="1"/>
    </xf>
    <xf numFmtId="49" fontId="13" fillId="31" borderId="10" xfId="3" applyNumberFormat="1" applyFont="1" applyFill="1" applyBorder="1" applyAlignment="1" applyProtection="1">
      <alignment horizontal="center"/>
      <protection hidden="1"/>
    </xf>
    <xf numFmtId="0" fontId="12" fillId="0" borderId="9" xfId="3" applyFont="1" applyBorder="1" applyAlignment="1" applyProtection="1">
      <alignment horizontal="left" vertical="center"/>
    </xf>
    <xf numFmtId="0" fontId="15" fillId="0" borderId="9" xfId="3" applyFont="1" applyBorder="1" applyAlignment="1" applyProtection="1">
      <alignment horizontal="left" vertical="center"/>
    </xf>
    <xf numFmtId="0" fontId="38" fillId="0" borderId="0" xfId="3" applyFont="1" applyBorder="1" applyAlignment="1" applyProtection="1">
      <alignment horizontal="left" vertical="center"/>
    </xf>
    <xf numFmtId="0" fontId="38" fillId="0" borderId="10" xfId="3" applyFont="1" applyBorder="1" applyAlignment="1" applyProtection="1">
      <alignment horizontal="right" vertical="center"/>
    </xf>
    <xf numFmtId="0" fontId="14" fillId="0" borderId="0" xfId="3" applyFont="1" applyBorder="1" applyAlignment="1" applyProtection="1">
      <alignment horizontal="center" vertical="center"/>
    </xf>
    <xf numFmtId="0" fontId="14" fillId="0" borderId="10" xfId="3" applyFont="1" applyBorder="1" applyAlignment="1" applyProtection="1">
      <alignment horizontal="center" vertical="center"/>
    </xf>
    <xf numFmtId="0" fontId="12" fillId="0" borderId="0" xfId="3" applyFont="1" applyBorder="1" applyAlignment="1" applyProtection="1">
      <alignment vertical="center"/>
    </xf>
    <xf numFmtId="0" fontId="12" fillId="0" borderId="0" xfId="3" applyFont="1" applyBorder="1" applyAlignment="1" applyProtection="1">
      <alignment horizontal="right" vertical="center"/>
    </xf>
    <xf numFmtId="0" fontId="12" fillId="0" borderId="0" xfId="3" applyFont="1" applyBorder="1" applyAlignment="1" applyProtection="1">
      <alignment horizontal="left" vertical="center"/>
      <protection hidden="1"/>
    </xf>
    <xf numFmtId="0" fontId="12" fillId="0" borderId="0" xfId="3" applyFont="1" applyBorder="1" applyAlignment="1" applyProtection="1">
      <alignment horizontal="center" vertical="center"/>
    </xf>
    <xf numFmtId="166" fontId="38" fillId="0" borderId="10" xfId="3" applyNumberFormat="1" applyFont="1" applyBorder="1" applyAlignment="1" applyProtection="1">
      <alignment horizontal="right" vertical="center"/>
    </xf>
    <xf numFmtId="0" fontId="39" fillId="27" borderId="27" xfId="3" applyFont="1" applyFill="1" applyBorder="1" applyAlignment="1" applyProtection="1"/>
    <xf numFmtId="0" fontId="39" fillId="27" borderId="29" xfId="3" applyFont="1" applyFill="1" applyBorder="1" applyAlignment="1" applyProtection="1">
      <alignment wrapText="1"/>
    </xf>
    <xf numFmtId="0" fontId="39" fillId="32" borderId="27" xfId="3" applyFont="1" applyFill="1" applyBorder="1" applyAlignment="1" applyProtection="1"/>
    <xf numFmtId="0" fontId="39" fillId="32" borderId="29" xfId="3" applyFont="1" applyFill="1" applyBorder="1" applyAlignment="1" applyProtection="1">
      <alignment wrapText="1"/>
    </xf>
    <xf numFmtId="10" fontId="12" fillId="0" borderId="25" xfId="3" applyNumberFormat="1" applyFont="1" applyBorder="1" applyAlignment="1" applyProtection="1"/>
    <xf numFmtId="10" fontId="12" fillId="0" borderId="26" xfId="3" applyNumberFormat="1" applyFont="1" applyBorder="1" applyAlignment="1" applyProtection="1"/>
    <xf numFmtId="49" fontId="12" fillId="0" borderId="54" xfId="3" applyNumberFormat="1" applyFont="1" applyBorder="1" applyAlignment="1" applyProtection="1">
      <alignment horizontal="center"/>
    </xf>
    <xf numFmtId="0" fontId="12" fillId="0" borderId="54" xfId="3" applyFont="1" applyBorder="1" applyAlignment="1" applyProtection="1"/>
    <xf numFmtId="49" fontId="38" fillId="0" borderId="53" xfId="3" applyNumberFormat="1" applyFont="1" applyBorder="1" applyAlignment="1" applyProtection="1">
      <alignment horizontal="center"/>
    </xf>
    <xf numFmtId="168" fontId="38" fillId="0" borderId="53" xfId="1" applyFont="1" applyBorder="1" applyAlignment="1" applyProtection="1">
      <alignment vertical="center"/>
    </xf>
    <xf numFmtId="49" fontId="38" fillId="0" borderId="55" xfId="3" applyNumberFormat="1" applyFont="1" applyBorder="1" applyAlignment="1" applyProtection="1">
      <alignment horizontal="center"/>
    </xf>
    <xf numFmtId="0" fontId="38" fillId="0" borderId="55" xfId="3" applyFont="1" applyBorder="1" applyAlignment="1" applyProtection="1"/>
    <xf numFmtId="49" fontId="38" fillId="0" borderId="54" xfId="3" applyNumberFormat="1" applyFont="1" applyBorder="1" applyAlignment="1" applyProtection="1">
      <alignment horizontal="center"/>
    </xf>
    <xf numFmtId="0" fontId="38" fillId="0" borderId="54" xfId="3" applyFont="1" applyBorder="1" applyAlignment="1" applyProtection="1"/>
    <xf numFmtId="49" fontId="12" fillId="0" borderId="55" xfId="3" applyNumberFormat="1" applyFont="1" applyBorder="1" applyAlignment="1" applyProtection="1">
      <alignment horizontal="center"/>
    </xf>
    <xf numFmtId="0" fontId="12" fillId="0" borderId="55" xfId="3" applyFont="1" applyBorder="1" applyAlignment="1" applyProtection="1"/>
    <xf numFmtId="164" fontId="38" fillId="33" borderId="24" xfId="3" applyNumberFormat="1" applyFont="1" applyFill="1" applyBorder="1" applyAlignment="1" applyProtection="1">
      <alignment wrapText="1"/>
    </xf>
    <xf numFmtId="10" fontId="12" fillId="0" borderId="54" xfId="3" applyNumberFormat="1" applyFont="1" applyBorder="1" applyAlignment="1" applyProtection="1">
      <protection hidden="1"/>
    </xf>
    <xf numFmtId="0" fontId="12" fillId="0" borderId="53" xfId="3" applyFont="1" applyBorder="1" applyAlignment="1" applyProtection="1">
      <alignment horizontal="fill" vertical="center"/>
      <protection hidden="1"/>
    </xf>
    <xf numFmtId="169" fontId="12" fillId="0" borderId="55" xfId="3" applyNumberFormat="1" applyFont="1" applyBorder="1" applyAlignment="1" applyProtection="1">
      <protection hidden="1"/>
    </xf>
    <xf numFmtId="4" fontId="12" fillId="0" borderId="25" xfId="3" applyNumberFormat="1" applyFont="1" applyBorder="1" applyAlignment="1" applyProtection="1">
      <alignment horizontal="right"/>
    </xf>
    <xf numFmtId="4" fontId="12" fillId="0" borderId="26" xfId="3" applyNumberFormat="1" applyFont="1" applyBorder="1" applyAlignment="1" applyProtection="1">
      <alignment horizontal="right"/>
    </xf>
    <xf numFmtId="10" fontId="38" fillId="33" borderId="25" xfId="3" applyNumberFormat="1" applyFont="1" applyFill="1" applyBorder="1" applyAlignment="1" applyProtection="1">
      <alignment horizontal="center" wrapText="1"/>
    </xf>
    <xf numFmtId="0" fontId="12" fillId="29" borderId="53" xfId="3" applyFont="1" applyFill="1" applyBorder="1" applyAlignment="1" applyProtection="1">
      <alignment horizontal="fill" vertical="center"/>
      <protection hidden="1"/>
    </xf>
    <xf numFmtId="10" fontId="12" fillId="0" borderId="0" xfId="3" applyNumberFormat="1" applyFont="1" applyBorder="1" applyAlignment="1" applyProtection="1">
      <alignment horizontal="center"/>
      <protection hidden="1"/>
    </xf>
    <xf numFmtId="4" fontId="12" fillId="0" borderId="0" xfId="3" applyNumberFormat="1" applyFont="1" applyBorder="1" applyAlignment="1" applyProtection="1">
      <alignment horizontal="center"/>
      <protection hidden="1"/>
    </xf>
    <xf numFmtId="10" fontId="12" fillId="33" borderId="26" xfId="3" applyNumberFormat="1" applyFont="1" applyFill="1" applyBorder="1" applyAlignment="1" applyProtection="1"/>
    <xf numFmtId="4" fontId="12" fillId="33" borderId="26" xfId="3" applyNumberFormat="1" applyFont="1" applyFill="1" applyBorder="1" applyAlignment="1" applyProtection="1"/>
    <xf numFmtId="164" fontId="12" fillId="27" borderId="6" xfId="3" applyNumberFormat="1" applyFont="1" applyFill="1" applyBorder="1" applyAlignment="1" applyProtection="1">
      <alignment wrapText="1"/>
    </xf>
    <xf numFmtId="164" fontId="12" fillId="32" borderId="9" xfId="3" applyNumberFormat="1" applyFont="1" applyFill="1" applyBorder="1" applyAlignment="1" applyProtection="1">
      <alignment wrapText="1"/>
    </xf>
    <xf numFmtId="164" fontId="12" fillId="27" borderId="12" xfId="3" applyNumberFormat="1" applyFont="1" applyFill="1" applyBorder="1" applyAlignment="1" applyProtection="1">
      <alignment wrapText="1"/>
    </xf>
    <xf numFmtId="10" fontId="12" fillId="0" borderId="43" xfId="3" applyNumberFormat="1" applyFont="1" applyBorder="1" applyAlignment="1" applyProtection="1"/>
    <xf numFmtId="4" fontId="12" fillId="0" borderId="43" xfId="3" applyNumberFormat="1" applyFont="1" applyBorder="1" applyAlignment="1" applyProtection="1">
      <alignment horizontal="right"/>
    </xf>
    <xf numFmtId="165" fontId="12" fillId="27" borderId="8" xfId="3" applyNumberFormat="1" applyFont="1" applyFill="1" applyBorder="1" applyAlignment="1" applyProtection="1">
      <alignment horizontal="center" wrapText="1"/>
    </xf>
    <xf numFmtId="165" fontId="12" fillId="32" borderId="10" xfId="3" applyNumberFormat="1" applyFont="1" applyFill="1" applyBorder="1" applyAlignment="1" applyProtection="1">
      <alignment horizontal="center" wrapText="1"/>
    </xf>
    <xf numFmtId="165" fontId="12" fillId="27" borderId="14" xfId="3" applyNumberFormat="1" applyFont="1" applyFill="1" applyBorder="1" applyAlignment="1" applyProtection="1">
      <alignment horizontal="center" wrapText="1"/>
    </xf>
    <xf numFmtId="10" fontId="12" fillId="33" borderId="43" xfId="3" applyNumberFormat="1" applyFont="1" applyFill="1" applyBorder="1" applyAlignment="1" applyProtection="1"/>
    <xf numFmtId="10" fontId="12" fillId="33" borderId="25" xfId="3" applyNumberFormat="1" applyFont="1" applyFill="1" applyBorder="1" applyAlignment="1" applyProtection="1"/>
    <xf numFmtId="4" fontId="12" fillId="33" borderId="25" xfId="3" applyNumberFormat="1" applyFont="1" applyFill="1" applyBorder="1" applyAlignment="1" applyProtection="1"/>
    <xf numFmtId="4" fontId="23" fillId="0" borderId="0" xfId="0" applyNumberFormat="1" applyFont="1" applyAlignment="1">
      <alignment horizontal="center"/>
    </xf>
    <xf numFmtId="0" fontId="20" fillId="2" borderId="4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1" fillId="17" borderId="25" xfId="0" applyFont="1" applyFill="1" applyBorder="1" applyAlignment="1">
      <alignment horizontal="left" vertical="center"/>
    </xf>
    <xf numFmtId="4" fontId="24" fillId="17" borderId="25" xfId="0" applyNumberFormat="1" applyFont="1" applyFill="1" applyBorder="1" applyAlignment="1">
      <alignment horizontal="center" vertical="center"/>
    </xf>
    <xf numFmtId="4" fontId="21" fillId="17" borderId="25" xfId="0" applyNumberFormat="1" applyFont="1" applyFill="1" applyBorder="1" applyAlignment="1">
      <alignment horizontal="center" vertical="center"/>
    </xf>
    <xf numFmtId="4" fontId="21" fillId="17" borderId="26" xfId="0" applyNumberFormat="1" applyFont="1" applyFill="1" applyBorder="1" applyAlignment="1">
      <alignment horizontal="center" vertical="center"/>
    </xf>
    <xf numFmtId="0" fontId="41" fillId="2" borderId="27" xfId="0" applyFont="1" applyFill="1" applyBorder="1" applyAlignment="1">
      <alignment horizontal="center" wrapText="1"/>
    </xf>
    <xf numFmtId="0" fontId="41" fillId="2" borderId="28" xfId="0" applyFont="1" applyFill="1" applyBorder="1" applyAlignment="1">
      <alignment horizontal="center" wrapText="1"/>
    </xf>
    <xf numFmtId="0" fontId="41" fillId="2" borderId="43" xfId="0" applyFont="1" applyFill="1" applyBorder="1" applyAlignment="1">
      <alignment horizontal="center" vertical="center" wrapText="1"/>
    </xf>
    <xf numFmtId="0" fontId="21" fillId="18" borderId="25" xfId="0" applyFont="1" applyFill="1" applyBorder="1" applyAlignment="1">
      <alignment horizontal="left" vertical="center"/>
    </xf>
    <xf numFmtId="4" fontId="24" fillId="18" borderId="25" xfId="0" applyNumberFormat="1" applyFont="1" applyFill="1" applyBorder="1" applyAlignment="1">
      <alignment horizontal="center" vertical="center"/>
    </xf>
    <xf numFmtId="4" fontId="21" fillId="18" borderId="25" xfId="0" applyNumberFormat="1" applyFont="1" applyFill="1" applyBorder="1" applyAlignment="1">
      <alignment horizontal="center" vertical="center"/>
    </xf>
    <xf numFmtId="4" fontId="21" fillId="18" borderId="26" xfId="0" applyNumberFormat="1" applyFont="1" applyFill="1" applyBorder="1" applyAlignment="1">
      <alignment horizontal="center" vertical="center"/>
    </xf>
    <xf numFmtId="0" fontId="21" fillId="23" borderId="25" xfId="0" applyFont="1" applyFill="1" applyBorder="1" applyAlignment="1">
      <alignment horizontal="left" vertical="center"/>
    </xf>
    <xf numFmtId="4" fontId="24" fillId="23" borderId="25" xfId="0" applyNumberFormat="1" applyFont="1" applyFill="1" applyBorder="1" applyAlignment="1">
      <alignment horizontal="center" vertical="center"/>
    </xf>
    <xf numFmtId="4" fontId="21" fillId="23" borderId="25" xfId="0" applyNumberFormat="1" applyFont="1" applyFill="1" applyBorder="1" applyAlignment="1">
      <alignment horizontal="center" vertical="center"/>
    </xf>
    <xf numFmtId="4" fontId="21" fillId="23" borderId="26" xfId="0" applyNumberFormat="1" applyFont="1" applyFill="1" applyBorder="1" applyAlignment="1">
      <alignment horizontal="center" vertical="center"/>
    </xf>
    <xf numFmtId="0" fontId="21" fillId="17" borderId="31" xfId="0" applyFont="1" applyFill="1" applyBorder="1" applyAlignment="1">
      <alignment horizontal="left" vertical="center"/>
    </xf>
    <xf numFmtId="4" fontId="24" fillId="17" borderId="31" xfId="0" applyNumberFormat="1" applyFont="1" applyFill="1" applyBorder="1" applyAlignment="1">
      <alignment horizontal="center" vertical="center"/>
    </xf>
    <xf numFmtId="4" fontId="21" fillId="17" borderId="31" xfId="0" applyNumberFormat="1" applyFont="1" applyFill="1" applyBorder="1" applyAlignment="1">
      <alignment horizontal="center" vertical="center"/>
    </xf>
    <xf numFmtId="4" fontId="21" fillId="17" borderId="32" xfId="0" applyNumberFormat="1" applyFont="1" applyFill="1" applyBorder="1" applyAlignment="1">
      <alignment horizontal="center" vertical="center"/>
    </xf>
    <xf numFmtId="0" fontId="21" fillId="18" borderId="34" xfId="0" applyFont="1" applyFill="1" applyBorder="1" applyAlignment="1">
      <alignment horizontal="left" vertical="center"/>
    </xf>
    <xf numFmtId="4" fontId="24" fillId="18" borderId="34" xfId="0" applyNumberFormat="1" applyFont="1" applyFill="1" applyBorder="1" applyAlignment="1">
      <alignment horizontal="center" vertical="center"/>
    </xf>
    <xf numFmtId="4" fontId="21" fillId="18" borderId="34" xfId="0" applyNumberFormat="1" applyFont="1" applyFill="1" applyBorder="1" applyAlignment="1">
      <alignment horizontal="center" vertical="center"/>
    </xf>
    <xf numFmtId="4" fontId="21" fillId="18" borderId="35" xfId="0" applyNumberFormat="1" applyFont="1" applyFill="1" applyBorder="1" applyAlignment="1">
      <alignment horizontal="center" vertical="center"/>
    </xf>
    <xf numFmtId="0" fontId="21" fillId="23" borderId="37" xfId="0" applyFont="1" applyFill="1" applyBorder="1" applyAlignment="1">
      <alignment horizontal="left" vertical="center"/>
    </xf>
    <xf numFmtId="4" fontId="24" fillId="23" borderId="37" xfId="0" applyNumberFormat="1" applyFont="1" applyFill="1" applyBorder="1" applyAlignment="1">
      <alignment horizontal="center" vertical="center"/>
    </xf>
    <xf numFmtId="4" fontId="21" fillId="23" borderId="37" xfId="0" applyNumberFormat="1" applyFont="1" applyFill="1" applyBorder="1" applyAlignment="1">
      <alignment horizontal="center" vertical="center"/>
    </xf>
    <xf numFmtId="4" fontId="21" fillId="23" borderId="38" xfId="0" applyNumberFormat="1" applyFont="1" applyFill="1" applyBorder="1" applyAlignment="1">
      <alignment horizontal="center" vertical="center"/>
    </xf>
    <xf numFmtId="0" fontId="21" fillId="17" borderId="37" xfId="0" applyFont="1" applyFill="1" applyBorder="1" applyAlignment="1">
      <alignment horizontal="left" vertical="center"/>
    </xf>
    <xf numFmtId="4" fontId="24" fillId="17" borderId="37" xfId="0" applyNumberFormat="1" applyFont="1" applyFill="1" applyBorder="1" applyAlignment="1">
      <alignment horizontal="center" vertical="center"/>
    </xf>
    <xf numFmtId="4" fontId="21" fillId="17" borderId="37" xfId="0" applyNumberFormat="1" applyFont="1" applyFill="1" applyBorder="1" applyAlignment="1">
      <alignment horizontal="center" vertical="center"/>
    </xf>
    <xf numFmtId="4" fontId="21" fillId="17" borderId="38" xfId="0" applyNumberFormat="1" applyFont="1" applyFill="1" applyBorder="1" applyAlignment="1">
      <alignment horizontal="center" vertical="center"/>
    </xf>
    <xf numFmtId="170" fontId="38" fillId="0" borderId="10" xfId="3" applyNumberFormat="1" applyFont="1" applyBorder="1" applyAlignment="1" applyProtection="1">
      <alignment horizontal="right" vertical="center"/>
    </xf>
    <xf numFmtId="10" fontId="34" fillId="0" borderId="0" xfId="0" applyNumberFormat="1" applyFont="1" applyAlignment="1">
      <alignment horizontal="center" vertical="center"/>
    </xf>
    <xf numFmtId="0" fontId="38" fillId="0" borderId="0" xfId="3" applyFont="1" applyBorder="1" applyAlignment="1" applyProtection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171" fontId="31" fillId="0" borderId="0" xfId="0" applyNumberFormat="1" applyFont="1" applyAlignment="1">
      <alignment horizontal="center" wrapText="1"/>
    </xf>
    <xf numFmtId="0" fontId="42" fillId="0" borderId="0" xfId="0" applyFont="1"/>
    <xf numFmtId="4" fontId="24" fillId="10" borderId="25" xfId="0" applyNumberFormat="1" applyFont="1" applyFill="1" applyBorder="1" applyAlignment="1">
      <alignment horizontal="center" vertical="center"/>
    </xf>
    <xf numFmtId="4" fontId="21" fillId="10" borderId="25" xfId="0" applyNumberFormat="1" applyFont="1" applyFill="1" applyBorder="1" applyAlignment="1">
      <alignment horizontal="center" vertical="center"/>
    </xf>
    <xf numFmtId="4" fontId="24" fillId="10" borderId="25" xfId="0" applyNumberFormat="1" applyFont="1" applyFill="1" applyBorder="1" applyAlignment="1">
      <alignment horizontal="center"/>
    </xf>
    <xf numFmtId="4" fontId="21" fillId="10" borderId="25" xfId="0" applyNumberFormat="1" applyFont="1" applyFill="1" applyBorder="1" applyAlignment="1">
      <alignment horizontal="center"/>
    </xf>
    <xf numFmtId="0" fontId="39" fillId="0" borderId="9" xfId="3" applyFont="1" applyBorder="1" applyAlignment="1" applyProtection="1">
      <alignment horizontal="left" vertical="center"/>
    </xf>
    <xf numFmtId="0" fontId="39" fillId="0" borderId="0" xfId="3" applyFont="1" applyBorder="1" applyAlignment="1" applyProtection="1">
      <alignment vertical="center"/>
      <protection hidden="1"/>
    </xf>
    <xf numFmtId="0" fontId="39" fillId="0" borderId="0" xfId="3" applyFont="1" applyBorder="1" applyAlignment="1" applyProtection="1">
      <alignment horizontal="left" vertical="center"/>
      <protection hidden="1"/>
    </xf>
    <xf numFmtId="0" fontId="0" fillId="0" borderId="6" xfId="0" applyBorder="1" applyAlignment="1">
      <alignment horizontal="center"/>
    </xf>
    <xf numFmtId="0" fontId="9" fillId="9" borderId="12" xfId="0" applyFont="1" applyFill="1" applyBorder="1" applyAlignment="1">
      <alignment horizontal="center" vertical="top"/>
    </xf>
    <xf numFmtId="0" fontId="9" fillId="9" borderId="13" xfId="0" applyFont="1" applyFill="1" applyBorder="1" applyAlignment="1">
      <alignment horizontal="center" vertical="top"/>
    </xf>
    <xf numFmtId="0" fontId="10" fillId="9" borderId="13" xfId="0" applyFont="1" applyFill="1" applyBorder="1" applyAlignment="1">
      <alignment horizontal="center" vertical="top"/>
    </xf>
    <xf numFmtId="0" fontId="9" fillId="9" borderId="13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left" vertical="top"/>
    </xf>
    <xf numFmtId="0" fontId="27" fillId="9" borderId="13" xfId="0" applyFont="1" applyFill="1" applyBorder="1" applyAlignment="1">
      <alignment horizontal="center" vertical="top"/>
    </xf>
    <xf numFmtId="10" fontId="27" fillId="9" borderId="13" xfId="0" applyNumberFormat="1" applyFont="1" applyFill="1" applyBorder="1" applyAlignment="1">
      <alignment horizontal="center" vertical="top"/>
    </xf>
    <xf numFmtId="0" fontId="9" fillId="9" borderId="14" xfId="0" applyFont="1" applyFill="1" applyBorder="1" applyAlignment="1">
      <alignment horizontal="center" vertical="top"/>
    </xf>
    <xf numFmtId="0" fontId="26" fillId="0" borderId="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left" vertical="top" wrapText="1"/>
    </xf>
    <xf numFmtId="0" fontId="24" fillId="0" borderId="28" xfId="0" applyFont="1" applyBorder="1" applyAlignment="1">
      <alignment horizontal="left" vertical="top" wrapText="1"/>
    </xf>
    <xf numFmtId="0" fontId="24" fillId="0" borderId="29" xfId="0" applyFont="1" applyBorder="1" applyAlignment="1">
      <alignment horizontal="left" vertical="top" wrapText="1"/>
    </xf>
    <xf numFmtId="4" fontId="2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right" vertical="center" wrapText="1"/>
    </xf>
    <xf numFmtId="0" fontId="28" fillId="0" borderId="0" xfId="0" applyFont="1" applyBorder="1" applyAlignment="1">
      <alignment horizontal="right" vertical="center" wrapText="1"/>
    </xf>
    <xf numFmtId="0" fontId="28" fillId="0" borderId="10" xfId="0" applyFont="1" applyBorder="1" applyAlignment="1">
      <alignment horizontal="right" vertical="center" wrapText="1"/>
    </xf>
    <xf numFmtId="4" fontId="30" fillId="0" borderId="0" xfId="0" applyNumberFormat="1" applyFont="1" applyAlignment="1">
      <alignment horizontal="center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" fontId="35" fillId="0" borderId="0" xfId="0" applyNumberFormat="1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6" fillId="0" borderId="27" xfId="0" applyFont="1" applyBorder="1" applyAlignment="1">
      <alignment horizontal="left" wrapText="1"/>
    </xf>
    <xf numFmtId="0" fontId="42" fillId="0" borderId="28" xfId="0" applyFont="1" applyBorder="1" applyAlignment="1">
      <alignment horizontal="left" wrapText="1"/>
    </xf>
    <xf numFmtId="0" fontId="42" fillId="0" borderId="29" xfId="0" applyFont="1" applyBorder="1" applyAlignment="1">
      <alignment horizontal="left" wrapText="1"/>
    </xf>
    <xf numFmtId="164" fontId="38" fillId="0" borderId="54" xfId="3" applyNumberFormat="1" applyFont="1" applyBorder="1" applyAlignment="1" applyProtection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38" fillId="0" borderId="16" xfId="3" applyFont="1" applyBorder="1" applyAlignment="1" applyProtection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38" fillId="0" borderId="15" xfId="3" applyFont="1" applyBorder="1" applyAlignment="1" applyProtection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38" fillId="0" borderId="17" xfId="3" applyFont="1" applyBorder="1" applyAlignment="1" applyProtection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167" fontId="38" fillId="0" borderId="54" xfId="3" applyNumberFormat="1" applyFont="1" applyBorder="1" applyAlignment="1" applyProtection="1">
      <alignment horizontal="center" vertical="center" wrapText="1"/>
    </xf>
    <xf numFmtId="0" fontId="38" fillId="0" borderId="13" xfId="3" applyFont="1" applyBorder="1" applyAlignment="1" applyProtection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43" fillId="0" borderId="9" xfId="3" applyFont="1" applyBorder="1" applyAlignment="1" applyProtection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49" fontId="45" fillId="31" borderId="9" xfId="3" applyNumberFormat="1" applyFont="1" applyFill="1" applyBorder="1" applyAlignment="1" applyProtection="1">
      <alignment horizontal="left" wrapText="1"/>
      <protection hidden="1"/>
    </xf>
    <xf numFmtId="0" fontId="26" fillId="0" borderId="0" xfId="0" applyFont="1" applyAlignment="1">
      <alignment horizontal="left" wrapText="1"/>
    </xf>
    <xf numFmtId="0" fontId="14" fillId="0" borderId="9" xfId="3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39" fillId="0" borderId="9" xfId="3" applyFont="1" applyBorder="1" applyAlignment="1" applyProtection="1">
      <alignment horizontal="left" wrapText="1"/>
    </xf>
    <xf numFmtId="0" fontId="25" fillId="0" borderId="0" xfId="0" applyFont="1" applyAlignment="1">
      <alignment horizontal="left" wrapText="1"/>
    </xf>
    <xf numFmtId="0" fontId="38" fillId="0" borderId="0" xfId="3" applyFont="1" applyBorder="1" applyAlignment="1" applyProtection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38" fillId="0" borderId="7" xfId="3" applyFont="1" applyBorder="1" applyAlignment="1" applyProtection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Porcentagem" xfId="2" builtinId="5"/>
    <cellStyle name="Texto Explicativo" xfId="3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71E44B"/>
      <rgbColor rgb="FF0000FF"/>
      <rgbColor rgb="FFFFFF00"/>
      <rgbColor rgb="FFFF00FF"/>
      <rgbColor rgb="FF00FFFF"/>
      <rgbColor rgb="FF800000"/>
      <rgbColor rgb="FF269900"/>
      <rgbColor rgb="FF000080"/>
      <rgbColor rgb="FF808000"/>
      <rgbColor rgb="FF800080"/>
      <rgbColor rgb="FF008080"/>
      <rgbColor rgb="FFC0C0C0"/>
      <rgbColor rgb="FF7F7F7F"/>
      <rgbColor rgb="FFA6A6A6"/>
      <rgbColor rgb="FF993366"/>
      <rgbColor rgb="FFF2F2F2"/>
      <rgbColor rgb="FFBCFF9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A3FF7D"/>
      <rgbColor rgb="FFDFFFBF"/>
      <rgbColor rgb="FF8AFD64"/>
      <rgbColor rgb="FF93CDDD"/>
      <rgbColor rgb="FFFF99CC"/>
      <rgbColor rgb="FFB2B2B2"/>
      <rgbColor rgb="FFBFBFBF"/>
      <rgbColor rgb="FF3366FF"/>
      <rgbColor rgb="FF58CB32"/>
      <rgbColor rgb="FF9BBB59"/>
      <rgbColor rgb="FFFFCC00"/>
      <rgbColor rgb="FFFF9900"/>
      <rgbColor rgb="FFFF6600"/>
      <rgbColor rgb="FF666699"/>
      <rgbColor rgb="FF969696"/>
      <rgbColor rgb="FF003366"/>
      <rgbColor rgb="FF3FB219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3</xdr:col>
      <xdr:colOff>191349</xdr:colOff>
      <xdr:row>4</xdr:row>
      <xdr:rowOff>108283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14300"/>
          <a:ext cx="5401524" cy="9083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152400</xdr:rowOff>
    </xdr:from>
    <xdr:to>
      <xdr:col>3</xdr:col>
      <xdr:colOff>219924</xdr:colOff>
      <xdr:row>4</xdr:row>
      <xdr:rowOff>70183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52400"/>
          <a:ext cx="5401524" cy="908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4</xdr:col>
      <xdr:colOff>2153499</xdr:colOff>
      <xdr:row>4</xdr:row>
      <xdr:rowOff>98758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04775"/>
          <a:ext cx="5401524" cy="9083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2</xdr:col>
      <xdr:colOff>715224</xdr:colOff>
      <xdr:row>5</xdr:row>
      <xdr:rowOff>13033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5401524" cy="908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view="pageBreakPreview" topLeftCell="A28" zoomScaleNormal="100" zoomScaleSheetLayoutView="100" workbookViewId="0">
      <selection activeCell="A41" sqref="A41:F45"/>
    </sheetView>
  </sheetViews>
  <sheetFormatPr defaultRowHeight="14.25"/>
  <cols>
    <col min="1" max="1" width="9.625" customWidth="1"/>
    <col min="2" max="2" width="50.625" customWidth="1"/>
    <col min="3" max="5" width="9.625" customWidth="1"/>
    <col min="6" max="6" width="12.625" customWidth="1"/>
  </cols>
  <sheetData>
    <row r="1" spans="1:9" ht="18" customHeight="1" thickTop="1">
      <c r="A1" s="553"/>
      <c r="B1" s="25"/>
      <c r="C1" s="25"/>
      <c r="D1" s="25"/>
      <c r="E1" s="25"/>
      <c r="F1" s="554"/>
    </row>
    <row r="2" spans="1:9" ht="18" customHeight="1">
      <c r="A2" s="555"/>
      <c r="B2" s="29"/>
      <c r="C2" s="29"/>
      <c r="D2" s="29"/>
      <c r="E2" s="29"/>
      <c r="F2" s="556"/>
    </row>
    <row r="3" spans="1:9" ht="18" customHeight="1">
      <c r="A3" s="555"/>
      <c r="B3" s="29"/>
      <c r="C3" s="29"/>
      <c r="D3" s="29"/>
      <c r="E3" s="29"/>
      <c r="F3" s="556"/>
    </row>
    <row r="4" spans="1:9" ht="18" customHeight="1">
      <c r="A4" s="555"/>
      <c r="B4" s="29"/>
      <c r="C4" s="29"/>
      <c r="D4" s="29"/>
      <c r="E4" s="29"/>
      <c r="F4" s="556"/>
    </row>
    <row r="5" spans="1:9" ht="18" customHeight="1">
      <c r="A5" s="555"/>
      <c r="B5" s="29"/>
      <c r="C5" s="29"/>
      <c r="D5" s="29"/>
      <c r="E5" s="29"/>
      <c r="F5" s="556"/>
    </row>
    <row r="6" spans="1:9" ht="18.75">
      <c r="A6" s="729" t="s">
        <v>1478</v>
      </c>
      <c r="B6" s="730"/>
      <c r="C6" s="730"/>
      <c r="D6" s="730"/>
      <c r="E6" s="730"/>
      <c r="F6" s="731"/>
      <c r="G6" s="1"/>
    </row>
    <row r="7" spans="1:9" ht="9.9499999999999993" customHeight="1">
      <c r="A7" s="555"/>
      <c r="B7" s="29"/>
      <c r="C7" s="29"/>
      <c r="D7" s="29"/>
      <c r="E7" s="29"/>
      <c r="F7" s="556"/>
    </row>
    <row r="8" spans="1:9" ht="18.75">
      <c r="A8" s="729" t="s">
        <v>0</v>
      </c>
      <c r="B8" s="730"/>
      <c r="C8" s="730"/>
      <c r="D8" s="730"/>
      <c r="E8" s="730"/>
      <c r="F8" s="731"/>
      <c r="G8" s="1"/>
    </row>
    <row r="9" spans="1:9" ht="9.9499999999999993" customHeight="1">
      <c r="A9" s="454"/>
      <c r="B9" s="578"/>
      <c r="C9" s="578"/>
      <c r="D9" s="578"/>
      <c r="E9" s="578"/>
      <c r="F9" s="455"/>
      <c r="G9" s="1"/>
    </row>
    <row r="10" spans="1:9" s="572" customFormat="1" ht="18.75">
      <c r="A10" s="729" t="s">
        <v>1</v>
      </c>
      <c r="B10" s="730"/>
      <c r="C10" s="730"/>
      <c r="D10" s="730"/>
      <c r="E10" s="730"/>
      <c r="F10" s="731"/>
      <c r="G10" s="571"/>
    </row>
    <row r="11" spans="1:9" s="572" customFormat="1" ht="19.5" thickBot="1">
      <c r="A11" s="729" t="s">
        <v>2</v>
      </c>
      <c r="B11" s="730"/>
      <c r="C11" s="730"/>
      <c r="D11" s="730"/>
      <c r="E11" s="730"/>
      <c r="F11" s="731"/>
      <c r="G11" s="571"/>
    </row>
    <row r="12" spans="1:9" ht="18" customHeight="1" thickTop="1" thickBot="1">
      <c r="A12" s="557"/>
      <c r="B12" s="574"/>
      <c r="C12" s="574"/>
      <c r="D12" s="574"/>
      <c r="E12" s="569"/>
      <c r="F12" s="573">
        <f>F35</f>
        <v>0.2036</v>
      </c>
      <c r="G12" s="1"/>
      <c r="I12" s="572"/>
    </row>
    <row r="13" spans="1:9" ht="17.25" thickTop="1" thickBot="1">
      <c r="A13" s="575"/>
      <c r="B13" s="576"/>
      <c r="C13" s="576"/>
      <c r="D13" s="576"/>
      <c r="E13" s="576"/>
      <c r="F13" s="577"/>
      <c r="G13" s="1"/>
    </row>
    <row r="14" spans="1:9" ht="35.1" customHeight="1" thickTop="1" thickBot="1">
      <c r="A14" s="735" t="s">
        <v>3</v>
      </c>
      <c r="B14" s="736"/>
      <c r="C14" s="736"/>
      <c r="D14" s="736"/>
      <c r="E14" s="736"/>
      <c r="F14" s="737"/>
      <c r="G14" s="1"/>
    </row>
    <row r="15" spans="1:9" ht="30" customHeight="1" thickTop="1" thickBot="1">
      <c r="A15" s="579" t="s">
        <v>4</v>
      </c>
      <c r="B15" s="580" t="s">
        <v>5</v>
      </c>
      <c r="C15" s="580"/>
      <c r="D15" s="583" t="s">
        <v>1479</v>
      </c>
      <c r="E15" s="581" t="s">
        <v>6</v>
      </c>
      <c r="F15" s="582" t="s">
        <v>7</v>
      </c>
      <c r="G15" s="1"/>
    </row>
    <row r="16" spans="1:9" ht="17.100000000000001" customHeight="1" thickTop="1">
      <c r="A16" s="561" t="s">
        <v>8</v>
      </c>
      <c r="B16" s="562" t="s">
        <v>9</v>
      </c>
      <c r="C16" s="563"/>
      <c r="D16" s="4">
        <v>0.03</v>
      </c>
      <c r="E16" s="4" t="s">
        <v>6</v>
      </c>
      <c r="F16" s="564"/>
      <c r="G16" s="1"/>
    </row>
    <row r="17" spans="1:9" ht="17.100000000000001" customHeight="1">
      <c r="A17" s="561" t="s">
        <v>10</v>
      </c>
      <c r="B17" s="562" t="s">
        <v>11</v>
      </c>
      <c r="C17" s="563"/>
      <c r="D17" s="4">
        <v>9.7000000000000003E-3</v>
      </c>
      <c r="E17" s="4" t="s">
        <v>6</v>
      </c>
      <c r="F17" s="564"/>
      <c r="G17" s="1"/>
    </row>
    <row r="18" spans="1:9" ht="17.100000000000001" customHeight="1">
      <c r="A18" s="561" t="s">
        <v>12</v>
      </c>
      <c r="B18" s="562" t="s">
        <v>13</v>
      </c>
      <c r="C18" s="563"/>
      <c r="D18" s="4">
        <v>8.0000000000000002E-3</v>
      </c>
      <c r="E18" s="4" t="s">
        <v>6</v>
      </c>
      <c r="F18" s="564"/>
      <c r="G18" s="1"/>
    </row>
    <row r="19" spans="1:9" ht="17.100000000000001" customHeight="1" thickBot="1">
      <c r="A19" s="561" t="s">
        <v>14</v>
      </c>
      <c r="B19" s="562" t="s">
        <v>15</v>
      </c>
      <c r="C19" s="563"/>
      <c r="D19" s="4"/>
      <c r="E19" s="4"/>
      <c r="F19" s="564"/>
      <c r="G19" s="1"/>
    </row>
    <row r="20" spans="1:9" ht="18" customHeight="1" thickTop="1" thickBot="1">
      <c r="A20" s="584"/>
      <c r="B20" s="585" t="s">
        <v>16</v>
      </c>
      <c r="C20" s="585"/>
      <c r="D20" s="586">
        <f>SUM(D16:D18)</f>
        <v>4.7699999999999999E-2</v>
      </c>
      <c r="E20" s="586"/>
      <c r="F20" s="591">
        <f>D20</f>
        <v>4.7699999999999999E-2</v>
      </c>
      <c r="G20" s="1"/>
    </row>
    <row r="21" spans="1:9" ht="15" thickTop="1">
      <c r="A21" s="558"/>
      <c r="B21" s="567"/>
      <c r="C21" s="559"/>
      <c r="D21" s="3"/>
      <c r="E21" s="3"/>
      <c r="F21" s="560"/>
      <c r="G21" s="1"/>
    </row>
    <row r="22" spans="1:9" ht="15" thickBot="1">
      <c r="A22" s="561" t="s">
        <v>17</v>
      </c>
      <c r="B22" s="562" t="s">
        <v>18</v>
      </c>
      <c r="C22" s="563"/>
      <c r="D22" s="4">
        <v>5.8999999999999999E-3</v>
      </c>
      <c r="E22" s="4" t="s">
        <v>6</v>
      </c>
      <c r="F22" s="564"/>
      <c r="G22" s="1"/>
    </row>
    <row r="23" spans="1:9" ht="18" customHeight="1" thickTop="1" thickBot="1">
      <c r="A23" s="592"/>
      <c r="B23" s="585" t="s">
        <v>16</v>
      </c>
      <c r="C23" s="585"/>
      <c r="D23" s="586">
        <f>D22</f>
        <v>5.8999999999999999E-3</v>
      </c>
      <c r="E23" s="593"/>
      <c r="F23" s="595">
        <f>D23</f>
        <v>5.8999999999999999E-3</v>
      </c>
      <c r="G23" s="1"/>
    </row>
    <row r="24" spans="1:9" ht="15" thickTop="1">
      <c r="A24" s="561"/>
      <c r="B24" s="5"/>
      <c r="C24" s="5"/>
      <c r="D24" s="2"/>
      <c r="E24" s="4"/>
      <c r="F24" s="566"/>
      <c r="G24" s="1"/>
    </row>
    <row r="25" spans="1:9" ht="18" customHeight="1">
      <c r="A25" s="558"/>
      <c r="B25" s="596" t="s">
        <v>19</v>
      </c>
      <c r="C25" s="559"/>
      <c r="D25" s="3"/>
      <c r="E25" s="3"/>
      <c r="F25" s="560"/>
      <c r="G25" s="1"/>
    </row>
    <row r="26" spans="1:9" ht="25.5">
      <c r="A26" s="561" t="s">
        <v>20</v>
      </c>
      <c r="B26" s="6" t="s">
        <v>21</v>
      </c>
      <c r="C26" s="6"/>
      <c r="D26" s="4">
        <v>0.03</v>
      </c>
      <c r="E26" s="4" t="s">
        <v>6</v>
      </c>
      <c r="F26" s="564"/>
      <c r="G26" s="1"/>
    </row>
    <row r="27" spans="1:9">
      <c r="A27" s="561" t="s">
        <v>22</v>
      </c>
      <c r="B27" s="562" t="s">
        <v>23</v>
      </c>
      <c r="C27" s="4"/>
      <c r="D27" s="4">
        <v>6.4999999999999997E-3</v>
      </c>
      <c r="E27" s="4" t="s">
        <v>6</v>
      </c>
      <c r="F27" s="564"/>
      <c r="G27" s="1"/>
      <c r="H27" s="7"/>
      <c r="I27" s="7"/>
    </row>
    <row r="28" spans="1:9">
      <c r="A28" s="561" t="s">
        <v>24</v>
      </c>
      <c r="B28" s="562" t="s">
        <v>25</v>
      </c>
      <c r="C28" s="4"/>
      <c r="D28" s="4">
        <v>0.02</v>
      </c>
      <c r="E28" s="4" t="s">
        <v>6</v>
      </c>
      <c r="F28" s="564"/>
      <c r="G28" s="1"/>
      <c r="H28" s="8"/>
      <c r="I28" s="9"/>
    </row>
    <row r="29" spans="1:9" ht="15" thickBot="1">
      <c r="A29" s="561" t="s">
        <v>26</v>
      </c>
      <c r="B29" s="562" t="s">
        <v>27</v>
      </c>
      <c r="C29" s="4"/>
      <c r="D29" s="4">
        <v>0</v>
      </c>
      <c r="E29" s="4" t="s">
        <v>6</v>
      </c>
      <c r="F29" s="564"/>
      <c r="G29" s="1"/>
      <c r="H29" s="8"/>
      <c r="I29" s="9"/>
    </row>
    <row r="30" spans="1:9" ht="18" customHeight="1" thickTop="1" thickBot="1">
      <c r="A30" s="592"/>
      <c r="B30" s="585" t="s">
        <v>16</v>
      </c>
      <c r="C30" s="585"/>
      <c r="D30" s="586">
        <f>SUM(D26:D29)</f>
        <v>5.6499999999999995E-2</v>
      </c>
      <c r="E30" s="593"/>
      <c r="F30" s="595">
        <f>D30</f>
        <v>5.6499999999999995E-2</v>
      </c>
      <c r="G30" s="1"/>
      <c r="H30" s="8"/>
      <c r="I30" s="9"/>
    </row>
    <row r="31" spans="1:9" ht="15" thickTop="1">
      <c r="A31" s="558"/>
      <c r="B31" s="10"/>
      <c r="C31" s="10"/>
      <c r="D31" s="3"/>
      <c r="E31" s="3"/>
      <c r="F31" s="560"/>
      <c r="G31" s="1"/>
      <c r="H31" s="8"/>
      <c r="I31" s="9"/>
    </row>
    <row r="32" spans="1:9" ht="15" thickBot="1">
      <c r="A32" s="561" t="s">
        <v>28</v>
      </c>
      <c r="B32" s="562" t="s">
        <v>29</v>
      </c>
      <c r="C32" s="563"/>
      <c r="D32" s="4">
        <v>7.7499999999999999E-2</v>
      </c>
      <c r="E32" s="4" t="s">
        <v>6</v>
      </c>
      <c r="F32" s="564"/>
      <c r="G32" s="1"/>
      <c r="H32" s="8"/>
      <c r="I32" s="9"/>
    </row>
    <row r="33" spans="1:9" ht="18" customHeight="1" thickTop="1" thickBot="1">
      <c r="A33" s="592"/>
      <c r="B33" s="594" t="s">
        <v>30</v>
      </c>
      <c r="C33" s="594"/>
      <c r="D33" s="586">
        <f>D32</f>
        <v>7.7499999999999999E-2</v>
      </c>
      <c r="E33" s="593"/>
      <c r="F33" s="595">
        <f>D33</f>
        <v>7.7499999999999999E-2</v>
      </c>
      <c r="G33" s="1"/>
      <c r="H33" s="8"/>
      <c r="I33" s="9"/>
    </row>
    <row r="34" spans="1:9" ht="15.75" thickTop="1" thickBot="1">
      <c r="A34" s="561"/>
      <c r="B34" s="11"/>
      <c r="C34" s="11"/>
      <c r="D34" s="2"/>
      <c r="E34" s="4"/>
      <c r="F34" s="566"/>
      <c r="G34" s="1"/>
      <c r="H34" s="8"/>
      <c r="I34" s="9"/>
    </row>
    <row r="35" spans="1:9" ht="20.100000000000001" customHeight="1" thickTop="1" thickBot="1">
      <c r="A35" s="588"/>
      <c r="B35" s="589"/>
      <c r="C35" s="589"/>
      <c r="D35" s="587"/>
      <c r="E35" s="587"/>
      <c r="F35" s="590">
        <f>ROUND((((1+F20)*(1+F23)*(1+F33)/(1-F30))-1),4)</f>
        <v>0.2036</v>
      </c>
      <c r="G35" s="1"/>
      <c r="H35" s="8"/>
      <c r="I35" s="9"/>
    </row>
    <row r="36" spans="1:9" ht="20.100000000000001" customHeight="1" thickTop="1">
      <c r="A36" s="565"/>
      <c r="B36" s="12"/>
      <c r="C36" s="12"/>
      <c r="D36" s="4"/>
      <c r="E36" s="4"/>
      <c r="F36" s="566"/>
      <c r="G36" s="1"/>
      <c r="H36" s="8"/>
      <c r="I36" s="9"/>
    </row>
    <row r="37" spans="1:9" ht="20.100000000000001" customHeight="1">
      <c r="A37" s="565"/>
      <c r="B37" s="12"/>
      <c r="C37" s="12"/>
      <c r="D37" s="4"/>
      <c r="E37" s="4"/>
      <c r="F37" s="566"/>
      <c r="G37" s="1"/>
      <c r="H37" s="8"/>
      <c r="I37" s="9"/>
    </row>
    <row r="38" spans="1:9" ht="20.100000000000001" customHeight="1">
      <c r="A38" s="565"/>
      <c r="B38" s="12"/>
      <c r="C38" s="12"/>
      <c r="D38" s="4"/>
      <c r="E38" s="4"/>
      <c r="F38" s="566"/>
      <c r="G38" s="1"/>
      <c r="H38" s="8"/>
      <c r="I38" s="9"/>
    </row>
    <row r="39" spans="1:9" ht="20.100000000000001" customHeight="1">
      <c r="A39" s="565"/>
      <c r="B39" s="12"/>
      <c r="C39" s="12"/>
      <c r="D39" s="4"/>
      <c r="E39" s="4"/>
      <c r="F39" s="566"/>
      <c r="G39" s="1"/>
      <c r="H39" s="8"/>
      <c r="I39" s="9"/>
    </row>
    <row r="40" spans="1:9" ht="20.100000000000001" customHeight="1">
      <c r="A40" s="565"/>
      <c r="B40" s="12"/>
      <c r="C40" s="12"/>
      <c r="D40" s="4"/>
      <c r="E40" s="4"/>
      <c r="F40" s="566"/>
      <c r="G40" s="1"/>
      <c r="H40" s="8"/>
      <c r="I40" s="9"/>
    </row>
    <row r="41" spans="1:9" ht="18.75">
      <c r="A41" s="729" t="s">
        <v>1478</v>
      </c>
      <c r="B41" s="730"/>
      <c r="C41" s="730"/>
      <c r="D41" s="730"/>
      <c r="E41" s="730"/>
      <c r="F41" s="731"/>
      <c r="G41" s="1"/>
    </row>
    <row r="42" spans="1:9" ht="20.100000000000001" customHeight="1">
      <c r="A42" s="729" t="s">
        <v>1414</v>
      </c>
      <c r="B42" s="730"/>
      <c r="C42" s="730"/>
      <c r="D42" s="730"/>
      <c r="E42" s="730"/>
      <c r="F42" s="731"/>
      <c r="G42" s="1"/>
      <c r="H42" s="9"/>
      <c r="I42" s="9"/>
    </row>
    <row r="43" spans="1:9" ht="20.100000000000001" customHeight="1">
      <c r="A43" s="729" t="s">
        <v>1533</v>
      </c>
      <c r="B43" s="730"/>
      <c r="C43" s="730"/>
      <c r="D43" s="730"/>
      <c r="E43" s="730"/>
      <c r="F43" s="731"/>
      <c r="G43" s="1"/>
      <c r="H43" s="13"/>
      <c r="I43" s="14"/>
    </row>
    <row r="44" spans="1:9" ht="20.100000000000001" customHeight="1">
      <c r="A44" s="729" t="s">
        <v>1536</v>
      </c>
      <c r="B44" s="730"/>
      <c r="C44" s="730"/>
      <c r="D44" s="730"/>
      <c r="E44" s="730"/>
      <c r="F44" s="731"/>
    </row>
    <row r="45" spans="1:9" ht="20.100000000000001" customHeight="1" thickBot="1">
      <c r="A45" s="732" t="s">
        <v>1535</v>
      </c>
      <c r="B45" s="733"/>
      <c r="C45" s="733"/>
      <c r="D45" s="733"/>
      <c r="E45" s="733"/>
      <c r="F45" s="734"/>
    </row>
    <row r="46" spans="1:9" ht="15" thickTop="1"/>
  </sheetData>
  <mergeCells count="10">
    <mergeCell ref="A45:F45"/>
    <mergeCell ref="A8:F8"/>
    <mergeCell ref="A10:F10"/>
    <mergeCell ref="A11:F11"/>
    <mergeCell ref="A14:F14"/>
    <mergeCell ref="A6:F6"/>
    <mergeCell ref="A41:F41"/>
    <mergeCell ref="A42:F42"/>
    <mergeCell ref="A43:F43"/>
    <mergeCell ref="A44:F44"/>
  </mergeCells>
  <printOptions horizontalCentered="1"/>
  <pageMargins left="0.59055118110236227" right="0.19685039370078741" top="0.39370078740157483" bottom="0.39370078740157483" header="0" footer="0"/>
  <pageSetup paperSize="9" scale="85"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view="pageBreakPreview" topLeftCell="A29" zoomScaleNormal="100" zoomScaleSheetLayoutView="100" workbookViewId="0">
      <selection activeCell="A42" sqref="A42:F42"/>
    </sheetView>
  </sheetViews>
  <sheetFormatPr defaultRowHeight="14.25"/>
  <cols>
    <col min="1" max="1" width="9.625" customWidth="1"/>
    <col min="2" max="2" width="50.625" customWidth="1"/>
    <col min="3" max="5" width="9.625" customWidth="1"/>
    <col min="6" max="6" width="12.625" customWidth="1"/>
  </cols>
  <sheetData>
    <row r="1" spans="1:7" ht="20.100000000000001" customHeight="1" thickTop="1">
      <c r="A1" s="598"/>
      <c r="B1" s="599"/>
      <c r="C1" s="599"/>
      <c r="D1" s="599"/>
      <c r="E1" s="599"/>
      <c r="F1" s="600"/>
    </row>
    <row r="2" spans="1:7" ht="20.100000000000001" customHeight="1">
      <c r="A2" s="568"/>
      <c r="B2" s="569"/>
      <c r="C2" s="569"/>
      <c r="D2" s="569"/>
      <c r="E2" s="569"/>
      <c r="F2" s="570"/>
    </row>
    <row r="3" spans="1:7" ht="20.100000000000001" customHeight="1">
      <c r="A3" s="568"/>
      <c r="B3" s="569"/>
      <c r="C3" s="569"/>
      <c r="D3" s="569"/>
      <c r="E3" s="569"/>
      <c r="F3" s="570"/>
    </row>
    <row r="4" spans="1:7" ht="20.100000000000001" customHeight="1">
      <c r="A4" s="568"/>
      <c r="B4" s="569"/>
      <c r="C4" s="569"/>
      <c r="D4" s="569"/>
      <c r="E4" s="569"/>
      <c r="F4" s="570"/>
    </row>
    <row r="5" spans="1:7" ht="20.100000000000001" customHeight="1">
      <c r="A5" s="568"/>
      <c r="B5" s="569"/>
      <c r="C5" s="569"/>
      <c r="D5" s="569"/>
      <c r="E5" s="569"/>
      <c r="F5" s="570"/>
    </row>
    <row r="6" spans="1:7" ht="18.75">
      <c r="A6" s="729" t="s">
        <v>1478</v>
      </c>
      <c r="B6" s="730"/>
      <c r="C6" s="730"/>
      <c r="D6" s="730"/>
      <c r="E6" s="730"/>
      <c r="F6" s="731"/>
      <c r="G6" s="1"/>
    </row>
    <row r="7" spans="1:7" ht="9.9499999999999993" customHeight="1">
      <c r="A7" s="555"/>
      <c r="B7" s="29"/>
      <c r="C7" s="29"/>
      <c r="D7" s="29"/>
      <c r="E7" s="29"/>
      <c r="F7" s="556"/>
    </row>
    <row r="8" spans="1:7" ht="18.75">
      <c r="A8" s="729" t="s">
        <v>0</v>
      </c>
      <c r="B8" s="730"/>
      <c r="C8" s="730"/>
      <c r="D8" s="730"/>
      <c r="E8" s="730"/>
      <c r="F8" s="731"/>
      <c r="G8" s="1"/>
    </row>
    <row r="9" spans="1:7" ht="9.9499999999999993" customHeight="1">
      <c r="A9" s="454"/>
      <c r="B9" s="578"/>
      <c r="C9" s="578"/>
      <c r="D9" s="578"/>
      <c r="E9" s="578"/>
      <c r="F9" s="455"/>
      <c r="G9" s="1"/>
    </row>
    <row r="10" spans="1:7" s="572" customFormat="1" ht="18.75">
      <c r="A10" s="729" t="s">
        <v>1481</v>
      </c>
      <c r="B10" s="730"/>
      <c r="C10" s="730"/>
      <c r="D10" s="730"/>
      <c r="E10" s="730"/>
      <c r="F10" s="731"/>
      <c r="G10" s="571"/>
    </row>
    <row r="11" spans="1:7" s="572" customFormat="1" ht="19.5" thickBot="1">
      <c r="A11" s="729" t="s">
        <v>2</v>
      </c>
      <c r="B11" s="730"/>
      <c r="C11" s="730"/>
      <c r="D11" s="730"/>
      <c r="E11" s="730"/>
      <c r="F11" s="731"/>
      <c r="G11" s="571"/>
    </row>
    <row r="12" spans="1:7" ht="17.25" thickTop="1" thickBot="1">
      <c r="A12" s="601"/>
      <c r="B12" s="597"/>
      <c r="C12" s="597"/>
      <c r="D12" s="597"/>
      <c r="E12" s="597"/>
      <c r="F12" s="602">
        <f>F34</f>
        <v>0.111</v>
      </c>
    </row>
    <row r="13" spans="1:7" ht="17.25" thickTop="1" thickBot="1">
      <c r="A13" s="575"/>
      <c r="B13" s="576"/>
      <c r="C13" s="576"/>
      <c r="D13" s="576"/>
      <c r="E13" s="576"/>
      <c r="F13" s="577"/>
    </row>
    <row r="14" spans="1:7" ht="36" customHeight="1" thickTop="1" thickBot="1">
      <c r="A14" s="735" t="s">
        <v>3</v>
      </c>
      <c r="B14" s="736"/>
      <c r="C14" s="736"/>
      <c r="D14" s="736"/>
      <c r="E14" s="736"/>
      <c r="F14" s="737"/>
    </row>
    <row r="15" spans="1:7" ht="30" customHeight="1" thickTop="1" thickBot="1">
      <c r="A15" s="579" t="s">
        <v>4</v>
      </c>
      <c r="B15" s="580" t="s">
        <v>5</v>
      </c>
      <c r="C15" s="580"/>
      <c r="D15" s="583" t="s">
        <v>1480</v>
      </c>
      <c r="E15" s="581" t="s">
        <v>6</v>
      </c>
      <c r="F15" s="582" t="s">
        <v>7</v>
      </c>
    </row>
    <row r="16" spans="1:7" ht="15" thickTop="1">
      <c r="A16" s="561" t="s">
        <v>8</v>
      </c>
      <c r="B16" s="562" t="s">
        <v>9</v>
      </c>
      <c r="C16" s="563"/>
      <c r="D16" s="4">
        <v>1.4999999999999999E-2</v>
      </c>
      <c r="E16" s="4" t="s">
        <v>6</v>
      </c>
      <c r="F16" s="564"/>
    </row>
    <row r="17" spans="1:6">
      <c r="A17" s="561" t="s">
        <v>10</v>
      </c>
      <c r="B17" s="562" t="s">
        <v>11</v>
      </c>
      <c r="C17" s="563"/>
      <c r="D17" s="4">
        <v>5.5999999999999999E-3</v>
      </c>
      <c r="E17" s="4" t="s">
        <v>6</v>
      </c>
      <c r="F17" s="564"/>
    </row>
    <row r="18" spans="1:6">
      <c r="A18" s="561" t="s">
        <v>12</v>
      </c>
      <c r="B18" s="562" t="s">
        <v>13</v>
      </c>
      <c r="C18" s="563"/>
      <c r="D18" s="4">
        <v>3.0000000000000001E-3</v>
      </c>
      <c r="E18" s="4" t="s">
        <v>6</v>
      </c>
      <c r="F18" s="564"/>
    </row>
    <row r="19" spans="1:6" ht="15" thickBot="1">
      <c r="A19" s="561" t="s">
        <v>14</v>
      </c>
      <c r="B19" s="562" t="s">
        <v>15</v>
      </c>
      <c r="C19" s="563"/>
      <c r="D19" s="4"/>
      <c r="E19" s="4"/>
      <c r="F19" s="564"/>
    </row>
    <row r="20" spans="1:6" ht="18" customHeight="1" thickTop="1" thickBot="1">
      <c r="A20" s="603"/>
      <c r="B20" s="609" t="s">
        <v>16</v>
      </c>
      <c r="C20" s="609"/>
      <c r="D20" s="608">
        <f>SUM(D16:D18)</f>
        <v>2.3599999999999999E-2</v>
      </c>
      <c r="E20" s="608"/>
      <c r="F20" s="612">
        <f>D20</f>
        <v>2.3599999999999999E-2</v>
      </c>
    </row>
    <row r="21" spans="1:6" ht="15" thickTop="1">
      <c r="A21" s="558"/>
      <c r="B21" s="567"/>
      <c r="C21" s="559"/>
      <c r="D21" s="3"/>
      <c r="E21" s="3"/>
      <c r="F21" s="560"/>
    </row>
    <row r="22" spans="1:6" ht="15" thickBot="1">
      <c r="A22" s="561" t="s">
        <v>17</v>
      </c>
      <c r="B22" s="562" t="s">
        <v>31</v>
      </c>
      <c r="C22" s="563"/>
      <c r="D22" s="4">
        <v>8.5000000000000006E-3</v>
      </c>
      <c r="E22" s="4" t="s">
        <v>6</v>
      </c>
      <c r="F22" s="564"/>
    </row>
    <row r="23" spans="1:6" ht="18" customHeight="1" thickTop="1" thickBot="1">
      <c r="A23" s="606"/>
      <c r="B23" s="609" t="s">
        <v>16</v>
      </c>
      <c r="C23" s="609"/>
      <c r="D23" s="608">
        <f>D22</f>
        <v>8.5000000000000006E-3</v>
      </c>
      <c r="E23" s="605"/>
      <c r="F23" s="612">
        <f>D23</f>
        <v>8.5000000000000006E-3</v>
      </c>
    </row>
    <row r="24" spans="1:6" ht="15" thickTop="1">
      <c r="A24" s="561"/>
      <c r="B24" s="5"/>
      <c r="C24" s="5"/>
      <c r="D24" s="2"/>
      <c r="E24" s="4"/>
      <c r="F24" s="566"/>
    </row>
    <row r="25" spans="1:6" ht="15.75">
      <c r="A25" s="558"/>
      <c r="B25" s="610" t="s">
        <v>19</v>
      </c>
      <c r="C25" s="559"/>
      <c r="D25" s="3"/>
      <c r="E25" s="3"/>
      <c r="F25" s="560"/>
    </row>
    <row r="26" spans="1:6" ht="25.5">
      <c r="A26" s="561" t="s">
        <v>20</v>
      </c>
      <c r="B26" s="6" t="s">
        <v>21</v>
      </c>
      <c r="C26" s="6"/>
      <c r="D26" s="4">
        <v>0.03</v>
      </c>
      <c r="E26" s="4" t="s">
        <v>6</v>
      </c>
      <c r="F26" s="564"/>
    </row>
    <row r="27" spans="1:6">
      <c r="A27" s="561" t="s">
        <v>22</v>
      </c>
      <c r="B27" s="562" t="s">
        <v>23</v>
      </c>
      <c r="C27" s="4"/>
      <c r="D27" s="4">
        <v>6.4999999999999997E-3</v>
      </c>
      <c r="E27" s="4" t="s">
        <v>6</v>
      </c>
      <c r="F27" s="564"/>
    </row>
    <row r="28" spans="1:6" ht="15" thickBot="1">
      <c r="A28" s="561" t="s">
        <v>24</v>
      </c>
      <c r="B28" s="562" t="s">
        <v>25</v>
      </c>
      <c r="C28" s="4"/>
      <c r="D28" s="4">
        <v>0</v>
      </c>
      <c r="E28" s="4" t="s">
        <v>6</v>
      </c>
      <c r="F28" s="564"/>
    </row>
    <row r="29" spans="1:6" ht="18" customHeight="1" thickTop="1" thickBot="1">
      <c r="A29" s="606"/>
      <c r="B29" s="609" t="s">
        <v>16</v>
      </c>
      <c r="C29" s="609"/>
      <c r="D29" s="608">
        <f>SUM(D26:D28)</f>
        <v>3.6499999999999998E-2</v>
      </c>
      <c r="E29" s="605"/>
      <c r="F29" s="612">
        <f>D29</f>
        <v>3.6499999999999998E-2</v>
      </c>
    </row>
    <row r="30" spans="1:6" ht="15" thickTop="1">
      <c r="A30" s="558"/>
      <c r="B30" s="10"/>
      <c r="C30" s="10"/>
      <c r="D30" s="3"/>
      <c r="E30" s="3"/>
      <c r="F30" s="560"/>
    </row>
    <row r="31" spans="1:6" ht="15" thickBot="1">
      <c r="A31" s="561" t="s">
        <v>28</v>
      </c>
      <c r="B31" s="562" t="s">
        <v>29</v>
      </c>
      <c r="C31" s="563"/>
      <c r="D31" s="4">
        <v>3.5000000000000003E-2</v>
      </c>
      <c r="E31" s="4" t="s">
        <v>6</v>
      </c>
      <c r="F31" s="564"/>
    </row>
    <row r="32" spans="1:6" ht="18" customHeight="1" thickTop="1" thickBot="1">
      <c r="A32" s="606"/>
      <c r="B32" s="607" t="s">
        <v>30</v>
      </c>
      <c r="C32" s="607"/>
      <c r="D32" s="608">
        <v>3.6999999999999998E-2</v>
      </c>
      <c r="E32" s="605"/>
      <c r="F32" s="612">
        <f>D32</f>
        <v>3.6999999999999998E-2</v>
      </c>
    </row>
    <row r="33" spans="1:9" ht="15.75" thickTop="1" thickBot="1">
      <c r="A33" s="561"/>
      <c r="B33" s="11"/>
      <c r="C33" s="11"/>
      <c r="D33" s="2"/>
      <c r="E33" s="4"/>
      <c r="F33" s="566"/>
    </row>
    <row r="34" spans="1:9" ht="20.100000000000001" customHeight="1" thickTop="1" thickBot="1">
      <c r="A34" s="603"/>
      <c r="B34" s="604"/>
      <c r="C34" s="604"/>
      <c r="D34" s="605"/>
      <c r="E34" s="605"/>
      <c r="F34" s="611">
        <f>ROUND((((1+F20)*(1+F23)*(1+F32)/(1-F29))-1),4)</f>
        <v>0.111</v>
      </c>
    </row>
    <row r="35" spans="1:9" ht="15" thickTop="1">
      <c r="A35" s="565"/>
      <c r="B35" s="12"/>
      <c r="C35" s="12"/>
      <c r="D35" s="4"/>
      <c r="E35" s="4"/>
      <c r="F35" s="566"/>
    </row>
    <row r="36" spans="1:9">
      <c r="A36" s="565"/>
      <c r="B36" s="12"/>
      <c r="C36" s="12"/>
      <c r="D36" s="4"/>
      <c r="E36" s="4"/>
      <c r="F36" s="566"/>
    </row>
    <row r="37" spans="1:9">
      <c r="A37" s="565"/>
      <c r="B37" s="12"/>
      <c r="C37" s="12"/>
      <c r="D37" s="4"/>
      <c r="E37" s="4"/>
      <c r="F37" s="566"/>
    </row>
    <row r="38" spans="1:9">
      <c r="A38" s="565"/>
      <c r="B38" s="12"/>
      <c r="C38" s="12"/>
      <c r="D38" s="4"/>
      <c r="E38" s="4"/>
      <c r="F38" s="566"/>
    </row>
    <row r="39" spans="1:9">
      <c r="A39" s="565"/>
      <c r="B39" s="12"/>
      <c r="C39" s="12"/>
      <c r="D39" s="4"/>
      <c r="E39" s="4"/>
      <c r="F39" s="566"/>
    </row>
    <row r="40" spans="1:9" ht="18.75" customHeight="1">
      <c r="A40" s="729" t="s">
        <v>1478</v>
      </c>
      <c r="B40" s="730"/>
      <c r="C40" s="730"/>
      <c r="D40" s="730"/>
      <c r="E40" s="730"/>
      <c r="F40" s="731"/>
      <c r="G40" s="1"/>
    </row>
    <row r="41" spans="1:9" ht="20.100000000000001" customHeight="1">
      <c r="A41" s="729" t="s">
        <v>1414</v>
      </c>
      <c r="B41" s="730"/>
      <c r="C41" s="730"/>
      <c r="D41" s="730"/>
      <c r="E41" s="730"/>
      <c r="F41" s="731"/>
      <c r="G41" s="1"/>
      <c r="H41" s="9"/>
      <c r="I41" s="9"/>
    </row>
    <row r="42" spans="1:9" ht="20.100000000000001" customHeight="1">
      <c r="A42" s="729" t="s">
        <v>1533</v>
      </c>
      <c r="B42" s="730"/>
      <c r="C42" s="730"/>
      <c r="D42" s="730"/>
      <c r="E42" s="730"/>
      <c r="F42" s="731"/>
      <c r="G42" s="1"/>
      <c r="H42" s="13"/>
      <c r="I42" s="14"/>
    </row>
    <row r="43" spans="1:9" ht="20.100000000000001" customHeight="1">
      <c r="A43" s="729" t="s">
        <v>1536</v>
      </c>
      <c r="B43" s="730"/>
      <c r="C43" s="730"/>
      <c r="D43" s="730"/>
      <c r="E43" s="730"/>
      <c r="F43" s="731"/>
    </row>
    <row r="44" spans="1:9" ht="20.100000000000001" customHeight="1" thickBot="1">
      <c r="A44" s="732" t="s">
        <v>1535</v>
      </c>
      <c r="B44" s="733"/>
      <c r="C44" s="733"/>
      <c r="D44" s="733"/>
      <c r="E44" s="733"/>
      <c r="F44" s="734"/>
    </row>
    <row r="45" spans="1:9" ht="15" thickTop="1"/>
  </sheetData>
  <mergeCells count="10">
    <mergeCell ref="A41:F41"/>
    <mergeCell ref="A42:F42"/>
    <mergeCell ref="A43:F43"/>
    <mergeCell ref="A44:F44"/>
    <mergeCell ref="A6:F6"/>
    <mergeCell ref="A8:F8"/>
    <mergeCell ref="A10:F10"/>
    <mergeCell ref="A11:F11"/>
    <mergeCell ref="A14:F14"/>
    <mergeCell ref="A40:F40"/>
  </mergeCells>
  <printOptions horizontalCentered="1"/>
  <pageMargins left="0.59055118110236227" right="0.19685039370078741" top="0.39370078740157483" bottom="0.39370078740157483" header="0" footer="0"/>
  <pageSetup paperSize="9" scale="8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8"/>
  <sheetViews>
    <sheetView showGridLines="0" tabSelected="1" view="pageBreakPreview" topLeftCell="A7" zoomScaleNormal="100" zoomScaleSheetLayoutView="100" workbookViewId="0">
      <selection activeCell="F13" sqref="F13"/>
    </sheetView>
  </sheetViews>
  <sheetFormatPr defaultRowHeight="14.25"/>
  <cols>
    <col min="1" max="1" width="12.625" style="9" customWidth="1"/>
    <col min="2" max="3" width="10.625" style="9" customWidth="1"/>
    <col min="4" max="4" width="9.625" style="22" customWidth="1"/>
    <col min="5" max="5" width="65.625" customWidth="1"/>
    <col min="6" max="6" width="12.625" style="9" customWidth="1"/>
    <col min="7" max="7" width="11.625" style="9" customWidth="1"/>
    <col min="8" max="8" width="14.625" style="9" customWidth="1"/>
    <col min="9" max="9" width="14.625" customWidth="1"/>
    <col min="10" max="11" width="15.625" customWidth="1"/>
    <col min="12" max="12" width="12.625" customWidth="1"/>
  </cols>
  <sheetData>
    <row r="1" spans="1:12" ht="18" customHeight="1" thickTop="1">
      <c r="A1" s="720"/>
      <c r="B1" s="23"/>
      <c r="C1" s="23"/>
      <c r="D1" s="24"/>
      <c r="E1" s="25"/>
      <c r="F1" s="23"/>
      <c r="G1" s="23"/>
      <c r="H1" s="26"/>
    </row>
    <row r="2" spans="1:12" ht="18" customHeight="1">
      <c r="A2" s="27"/>
      <c r="B2" s="7"/>
      <c r="C2" s="7"/>
      <c r="D2" s="28"/>
      <c r="E2" s="29"/>
      <c r="F2" s="7"/>
      <c r="G2" s="7"/>
      <c r="H2" s="30"/>
      <c r="I2" s="738" t="s">
        <v>1421</v>
      </c>
      <c r="J2" s="738" t="s">
        <v>1422</v>
      </c>
      <c r="K2" s="738" t="s">
        <v>1423</v>
      </c>
      <c r="L2" s="738" t="s">
        <v>1424</v>
      </c>
    </row>
    <row r="3" spans="1:12" ht="18" customHeight="1">
      <c r="A3" s="27"/>
      <c r="B3" s="7"/>
      <c r="C3" s="7"/>
      <c r="D3" s="28"/>
      <c r="E3" s="29"/>
      <c r="F3" s="7"/>
      <c r="G3" s="7"/>
      <c r="H3" s="30"/>
      <c r="I3" s="743"/>
      <c r="J3" s="739"/>
      <c r="K3" s="739"/>
      <c r="L3" s="739"/>
    </row>
    <row r="4" spans="1:12" ht="18" customHeight="1">
      <c r="A4" s="27"/>
      <c r="B4" s="7"/>
      <c r="C4" s="7"/>
      <c r="D4" s="28"/>
      <c r="E4" s="29"/>
      <c r="F4" s="7"/>
      <c r="G4" s="7"/>
      <c r="H4" s="30"/>
      <c r="I4" s="188">
        <v>6486771.4699999997</v>
      </c>
      <c r="J4" s="189">
        <f>H1545</f>
        <v>5404940.0568460943</v>
      </c>
      <c r="K4" s="190">
        <f>J4-I4</f>
        <v>-1081831.4131539054</v>
      </c>
      <c r="L4" s="191">
        <f>J4/I4</f>
        <v>0.83322498439213466</v>
      </c>
    </row>
    <row r="5" spans="1:12" ht="9.9499999999999993" customHeight="1">
      <c r="A5" s="27"/>
      <c r="B5" s="7"/>
      <c r="C5" s="7"/>
      <c r="D5" s="28"/>
      <c r="E5" s="29"/>
      <c r="F5" s="7"/>
      <c r="G5" s="7"/>
      <c r="H5" s="30"/>
    </row>
    <row r="6" spans="1:12" ht="18" customHeight="1">
      <c r="A6" s="27"/>
      <c r="B6" s="7"/>
      <c r="C6" s="7"/>
      <c r="D6" s="28"/>
      <c r="E6" s="29"/>
      <c r="F6" s="7"/>
      <c r="G6" s="7"/>
      <c r="H6" s="30"/>
    </row>
    <row r="7" spans="1:12" ht="18" customHeight="1">
      <c r="A7" s="729" t="s">
        <v>1413</v>
      </c>
      <c r="B7" s="730"/>
      <c r="C7" s="730"/>
      <c r="D7" s="730"/>
      <c r="E7" s="730"/>
      <c r="F7" s="730"/>
      <c r="G7" s="730"/>
      <c r="H7" s="731"/>
    </row>
    <row r="8" spans="1:12" ht="18" customHeight="1">
      <c r="A8" s="27"/>
      <c r="B8" s="7"/>
      <c r="C8" s="7"/>
      <c r="D8" s="28"/>
      <c r="E8" s="29"/>
      <c r="F8" s="7"/>
      <c r="G8" s="7"/>
      <c r="H8" s="30"/>
      <c r="J8" s="711"/>
    </row>
    <row r="9" spans="1:12" ht="18" customHeight="1">
      <c r="A9" s="744" t="s">
        <v>1415</v>
      </c>
      <c r="B9" s="745"/>
      <c r="C9" s="745"/>
      <c r="D9" s="745"/>
      <c r="E9" s="745"/>
      <c r="F9" s="740" t="s">
        <v>1549</v>
      </c>
      <c r="G9" s="741"/>
      <c r="H9" s="742"/>
    </row>
    <row r="10" spans="1:12" ht="18" customHeight="1">
      <c r="A10" s="744" t="s">
        <v>1318</v>
      </c>
      <c r="B10" s="745"/>
      <c r="C10" s="745"/>
      <c r="D10" s="745"/>
      <c r="E10" s="745"/>
      <c r="F10" s="740" t="s">
        <v>1550</v>
      </c>
      <c r="G10" s="741"/>
      <c r="H10" s="742"/>
    </row>
    <row r="11" spans="1:12" ht="18" customHeight="1">
      <c r="A11" s="744" t="s">
        <v>1416</v>
      </c>
      <c r="B11" s="745"/>
      <c r="C11" s="745"/>
      <c r="D11" s="745"/>
      <c r="E11" s="745"/>
      <c r="F11" s="740" t="s">
        <v>1551</v>
      </c>
      <c r="G11" s="741"/>
      <c r="H11" s="742"/>
    </row>
    <row r="12" spans="1:12" ht="18" customHeight="1">
      <c r="A12" s="744" t="s">
        <v>1417</v>
      </c>
      <c r="B12" s="745"/>
      <c r="C12" s="745"/>
      <c r="D12" s="745"/>
      <c r="E12" s="745"/>
      <c r="F12" s="740" t="s">
        <v>1552</v>
      </c>
      <c r="G12" s="741"/>
      <c r="H12" s="742"/>
    </row>
    <row r="13" spans="1:12" ht="18" customHeight="1">
      <c r="A13" s="744" t="s">
        <v>1486</v>
      </c>
      <c r="B13" s="745"/>
      <c r="C13" s="745"/>
      <c r="D13" s="745"/>
      <c r="E13" s="745"/>
      <c r="F13" s="7"/>
      <c r="G13" s="7"/>
      <c r="H13" s="30"/>
      <c r="I13" s="198" t="s">
        <v>1425</v>
      </c>
    </row>
    <row r="14" spans="1:12" ht="16.5" customHeight="1">
      <c r="A14" s="744" t="s">
        <v>1418</v>
      </c>
      <c r="B14" s="745"/>
      <c r="C14" s="745"/>
      <c r="D14" s="745"/>
      <c r="E14" s="745"/>
      <c r="F14" s="7"/>
      <c r="G14" s="7"/>
      <c r="H14" s="30"/>
      <c r="I14" s="708">
        <v>0.166775014999999</v>
      </c>
    </row>
    <row r="15" spans="1:12" ht="18" customHeight="1">
      <c r="A15" s="744" t="s">
        <v>1419</v>
      </c>
      <c r="B15" s="745"/>
      <c r="C15" s="745"/>
      <c r="D15" s="745"/>
      <c r="E15" s="745"/>
      <c r="F15" s="7"/>
      <c r="G15" s="7"/>
      <c r="H15" s="30"/>
      <c r="I15" s="746" t="s">
        <v>1426</v>
      </c>
    </row>
    <row r="16" spans="1:12" ht="18" customHeight="1">
      <c r="A16" s="27"/>
      <c r="B16" s="7"/>
      <c r="C16" s="7"/>
      <c r="D16" s="28"/>
      <c r="E16" s="29"/>
      <c r="F16" s="7"/>
      <c r="G16" s="7"/>
      <c r="H16" s="30"/>
      <c r="I16" s="746"/>
    </row>
    <row r="17" spans="1:9" ht="18" customHeight="1">
      <c r="A17" s="729" t="s">
        <v>1420</v>
      </c>
      <c r="B17" s="730"/>
      <c r="C17" s="730"/>
      <c r="D17" s="730"/>
      <c r="E17" s="730"/>
      <c r="F17" s="730"/>
      <c r="G17" s="730"/>
      <c r="H17" s="731"/>
      <c r="I17" s="746"/>
    </row>
    <row r="18" spans="1:9" ht="17.25" thickBot="1">
      <c r="A18" s="721"/>
      <c r="B18" s="722"/>
      <c r="C18" s="723"/>
      <c r="D18" s="724"/>
      <c r="E18" s="725"/>
      <c r="F18" s="726"/>
      <c r="G18" s="727"/>
      <c r="H18" s="728"/>
    </row>
    <row r="19" spans="1:9" ht="30" customHeight="1" thickTop="1" thickBot="1">
      <c r="A19" s="79" t="s">
        <v>33</v>
      </c>
      <c r="B19" s="80" t="s">
        <v>34</v>
      </c>
      <c r="C19" s="80" t="s">
        <v>35</v>
      </c>
      <c r="D19" s="80" t="s">
        <v>36</v>
      </c>
      <c r="E19" s="81" t="s">
        <v>37</v>
      </c>
      <c r="F19" s="82" t="s">
        <v>1332</v>
      </c>
      <c r="G19" s="83" t="s">
        <v>1333</v>
      </c>
      <c r="H19" s="84" t="s">
        <v>1334</v>
      </c>
    </row>
    <row r="20" spans="1:9" ht="15.95" customHeight="1" thickTop="1" thickBot="1">
      <c r="A20" s="143"/>
      <c r="B20" s="144"/>
      <c r="C20" s="145" t="s">
        <v>38</v>
      </c>
      <c r="D20" s="146"/>
      <c r="E20" s="147"/>
      <c r="F20" s="148"/>
      <c r="G20" s="452">
        <f>G1540</f>
        <v>4503619.867043308</v>
      </c>
      <c r="H20" s="453">
        <f>ROUND(G20,15)</f>
        <v>4503619.8670433098</v>
      </c>
      <c r="I20" s="15"/>
    </row>
    <row r="21" spans="1:9" ht="15.95" customHeight="1" thickBot="1">
      <c r="A21" s="149" t="s">
        <v>39</v>
      </c>
      <c r="B21" s="150"/>
      <c r="C21" s="150" t="s">
        <v>38</v>
      </c>
      <c r="D21" s="151"/>
      <c r="E21" s="152" t="s">
        <v>40</v>
      </c>
      <c r="F21" s="153"/>
      <c r="G21" s="192">
        <f>G118</f>
        <v>612537.15628792287</v>
      </c>
      <c r="H21" s="193">
        <f>ROUND(G21,15)</f>
        <v>612537.15628792299</v>
      </c>
    </row>
    <row r="22" spans="1:9" ht="15.95" customHeight="1" thickBot="1">
      <c r="A22" s="154" t="s">
        <v>41</v>
      </c>
      <c r="B22" s="155"/>
      <c r="C22" s="155" t="s">
        <v>38</v>
      </c>
      <c r="D22" s="156"/>
      <c r="E22" s="157" t="s">
        <v>42</v>
      </c>
      <c r="F22" s="158"/>
      <c r="G22" s="194">
        <f>G38</f>
        <v>92981.000057649391</v>
      </c>
      <c r="H22" s="195">
        <f>ROUND(G22,15)</f>
        <v>92981.000057649406</v>
      </c>
    </row>
    <row r="23" spans="1:9" ht="15.95" customHeight="1" thickBot="1">
      <c r="A23" s="159" t="s">
        <v>43</v>
      </c>
      <c r="B23" s="160"/>
      <c r="C23" s="160" t="s">
        <v>38</v>
      </c>
      <c r="D23" s="161"/>
      <c r="E23" s="162" t="s">
        <v>44</v>
      </c>
      <c r="F23" s="163"/>
      <c r="G23" s="196">
        <f>G29</f>
        <v>51969.225519932312</v>
      </c>
      <c r="H23" s="197">
        <f>ROUND(G23,15)</f>
        <v>51969.225519932297</v>
      </c>
    </row>
    <row r="24" spans="1:9" ht="26.1" customHeight="1" thickTop="1" thickBot="1">
      <c r="A24" s="90">
        <v>93214</v>
      </c>
      <c r="B24" s="91" t="s">
        <v>45</v>
      </c>
      <c r="C24" s="54" t="s">
        <v>46</v>
      </c>
      <c r="D24" s="54" t="s">
        <v>47</v>
      </c>
      <c r="E24" s="55" t="s">
        <v>48</v>
      </c>
      <c r="F24" s="436">
        <f>ROUND(1,15)</f>
        <v>1</v>
      </c>
      <c r="G24" s="436">
        <f>I24*(100%-$I$14)</f>
        <v>3422.371638889304</v>
      </c>
      <c r="H24" s="438">
        <f>ROUND(F24*G24,15)</f>
        <v>3422.3716388892999</v>
      </c>
      <c r="I24" s="520">
        <v>4107.38</v>
      </c>
    </row>
    <row r="25" spans="1:9" ht="26.1" customHeight="1" thickBot="1">
      <c r="A25" s="92">
        <v>93212</v>
      </c>
      <c r="B25" s="93" t="s">
        <v>45</v>
      </c>
      <c r="C25" s="58" t="s">
        <v>46</v>
      </c>
      <c r="D25" s="58" t="s">
        <v>49</v>
      </c>
      <c r="E25" s="59" t="s">
        <v>50</v>
      </c>
      <c r="F25" s="437">
        <f>ROUND(30,15)</f>
        <v>30</v>
      </c>
      <c r="G25" s="437">
        <f t="shared" ref="G25:G28" si="0">I25*(100%-$I$14)</f>
        <v>648.69064757205069</v>
      </c>
      <c r="H25" s="439">
        <f>ROUND(F25*G25,15)</f>
        <v>19460.719427161501</v>
      </c>
      <c r="I25" s="520">
        <v>778.53</v>
      </c>
    </row>
    <row r="26" spans="1:9" ht="26.1" customHeight="1" thickBot="1">
      <c r="A26" s="92">
        <v>93210</v>
      </c>
      <c r="B26" s="93" t="s">
        <v>45</v>
      </c>
      <c r="C26" s="58" t="s">
        <v>46</v>
      </c>
      <c r="D26" s="58" t="s">
        <v>49</v>
      </c>
      <c r="E26" s="59" t="s">
        <v>51</v>
      </c>
      <c r="F26" s="437">
        <f>ROUND(20,15)</f>
        <v>20</v>
      </c>
      <c r="G26" s="437">
        <f t="shared" si="0"/>
        <v>386.49140929225047</v>
      </c>
      <c r="H26" s="439">
        <f>ROUND(F26*G26,15)</f>
        <v>7729.82818584501</v>
      </c>
      <c r="I26" s="520">
        <v>463.85</v>
      </c>
    </row>
    <row r="27" spans="1:9" ht="26.1" customHeight="1" thickBot="1">
      <c r="A27" s="92">
        <v>93208</v>
      </c>
      <c r="B27" s="93" t="s">
        <v>45</v>
      </c>
      <c r="C27" s="58" t="s">
        <v>46</v>
      </c>
      <c r="D27" s="58" t="s">
        <v>49</v>
      </c>
      <c r="E27" s="59" t="s">
        <v>52</v>
      </c>
      <c r="F27" s="437">
        <f>ROUND(20,15)</f>
        <v>20</v>
      </c>
      <c r="G27" s="437">
        <f t="shared" si="0"/>
        <v>564.02665684620058</v>
      </c>
      <c r="H27" s="439">
        <f>ROUND(F27*G27,15)</f>
        <v>11280.533136923999</v>
      </c>
      <c r="I27" s="520">
        <v>676.92</v>
      </c>
    </row>
    <row r="28" spans="1:9" ht="26.1" customHeight="1" thickBot="1">
      <c r="A28" s="96">
        <v>93207</v>
      </c>
      <c r="B28" s="97" t="s">
        <v>45</v>
      </c>
      <c r="C28" s="60" t="s">
        <v>46</v>
      </c>
      <c r="D28" s="60" t="s">
        <v>49</v>
      </c>
      <c r="E28" s="61" t="s">
        <v>53</v>
      </c>
      <c r="F28" s="442">
        <f>ROUND(14,15)</f>
        <v>14</v>
      </c>
      <c r="G28" s="442">
        <f t="shared" si="0"/>
        <v>719.69808079375082</v>
      </c>
      <c r="H28" s="443">
        <f>ROUND(F28*G28,15)</f>
        <v>10075.773131112501</v>
      </c>
      <c r="I28" s="520">
        <v>863.75</v>
      </c>
    </row>
    <row r="29" spans="1:9" ht="15.75" thickTop="1" thickBot="1">
      <c r="A29" s="51"/>
      <c r="B29" s="52"/>
      <c r="C29" s="52"/>
      <c r="D29" s="53"/>
      <c r="E29" s="386" t="s">
        <v>43</v>
      </c>
      <c r="F29" s="387"/>
      <c r="G29" s="388">
        <f>H24+H25+H26+H27+H28</f>
        <v>51969.225519932312</v>
      </c>
      <c r="H29" s="389">
        <f>ROUND(G29,15)</f>
        <v>51969.225519932297</v>
      </c>
      <c r="I29" s="522"/>
    </row>
    <row r="30" spans="1:9" ht="15.75" thickTop="1" thickBot="1">
      <c r="A30" s="199" t="s">
        <v>54</v>
      </c>
      <c r="B30" s="200"/>
      <c r="C30" s="200" t="s">
        <v>38</v>
      </c>
      <c r="D30" s="201"/>
      <c r="E30" s="202" t="s">
        <v>55</v>
      </c>
      <c r="F30" s="203"/>
      <c r="G30" s="204">
        <f>G33</f>
        <v>2564.09574471528</v>
      </c>
      <c r="H30" s="205">
        <f>ROUND(G30,15)</f>
        <v>2564.09574471528</v>
      </c>
      <c r="I30" s="522"/>
    </row>
    <row r="31" spans="1:9" ht="15.75" thickTop="1" thickBot="1">
      <c r="A31" s="90" t="s">
        <v>56</v>
      </c>
      <c r="B31" s="91" t="s">
        <v>57</v>
      </c>
      <c r="C31" s="64" t="s">
        <v>46</v>
      </c>
      <c r="D31" s="64" t="s">
        <v>47</v>
      </c>
      <c r="E31" s="65" t="s">
        <v>58</v>
      </c>
      <c r="F31" s="446">
        <f>ROUND(1,15)</f>
        <v>1</v>
      </c>
      <c r="G31" s="440">
        <f t="shared" ref="G31:G32" si="1">I31*(100%-$I$14)</f>
        <v>1550.4150585889017</v>
      </c>
      <c r="H31" s="447">
        <f>ROUND(F31*G31,15)</f>
        <v>1550.4150585888999</v>
      </c>
      <c r="I31" s="521">
        <v>1860.74</v>
      </c>
    </row>
    <row r="32" spans="1:9" ht="23.25" thickBot="1">
      <c r="A32" s="96" t="s">
        <v>59</v>
      </c>
      <c r="B32" s="97" t="s">
        <v>57</v>
      </c>
      <c r="C32" s="60" t="s">
        <v>46</v>
      </c>
      <c r="D32" s="60" t="s">
        <v>47</v>
      </c>
      <c r="E32" s="61" t="s">
        <v>60</v>
      </c>
      <c r="F32" s="442">
        <f>ROUND(1,15)</f>
        <v>1</v>
      </c>
      <c r="G32" s="437">
        <f t="shared" si="1"/>
        <v>1013.6806861263763</v>
      </c>
      <c r="H32" s="443">
        <f>ROUND(F32*G32,15)</f>
        <v>1013.68068612638</v>
      </c>
      <c r="I32" s="520">
        <v>1216.575</v>
      </c>
    </row>
    <row r="33" spans="1:9" ht="15.75" thickTop="1" thickBot="1">
      <c r="A33" s="51"/>
      <c r="B33" s="52"/>
      <c r="C33" s="52"/>
      <c r="D33" s="53"/>
      <c r="E33" s="47" t="s">
        <v>54</v>
      </c>
      <c r="F33" s="48"/>
      <c r="G33" s="49">
        <f>H31+H32</f>
        <v>2564.09574471528</v>
      </c>
      <c r="H33" s="50">
        <f>ROUND(G33,15)</f>
        <v>2564.09574471528</v>
      </c>
      <c r="I33" s="522"/>
    </row>
    <row r="34" spans="1:9" ht="15.75" thickTop="1" thickBot="1">
      <c r="A34" s="199" t="s">
        <v>61</v>
      </c>
      <c r="B34" s="200"/>
      <c r="C34" s="200" t="s">
        <v>38</v>
      </c>
      <c r="D34" s="201"/>
      <c r="E34" s="202" t="s">
        <v>62</v>
      </c>
      <c r="F34" s="203"/>
      <c r="G34" s="204">
        <f>G37</f>
        <v>38447.678793001804</v>
      </c>
      <c r="H34" s="205">
        <f>ROUND(G34,15)</f>
        <v>38447.678793001804</v>
      </c>
      <c r="I34" s="522"/>
    </row>
    <row r="35" spans="1:9" ht="15.75" thickTop="1" thickBot="1">
      <c r="A35" s="100" t="s">
        <v>63</v>
      </c>
      <c r="B35" s="101" t="s">
        <v>57</v>
      </c>
      <c r="C35" s="64" t="s">
        <v>46</v>
      </c>
      <c r="D35" s="64" t="s">
        <v>49</v>
      </c>
      <c r="E35" s="65" t="s">
        <v>64</v>
      </c>
      <c r="F35" s="446">
        <f>ROUND(2.88,15)</f>
        <v>2.88</v>
      </c>
      <c r="G35" s="446">
        <f t="shared" ref="G35:G36" si="2">I35*(100%-$I$14)</f>
        <v>240.38540817250029</v>
      </c>
      <c r="H35" s="447">
        <f>ROUND(F35*G35,15)</f>
        <v>692.30997553680095</v>
      </c>
      <c r="I35" s="521">
        <v>288.5</v>
      </c>
    </row>
    <row r="36" spans="1:9" ht="15" thickBot="1">
      <c r="A36" s="102">
        <v>98459</v>
      </c>
      <c r="B36" s="103" t="s">
        <v>45</v>
      </c>
      <c r="C36" s="66" t="s">
        <v>46</v>
      </c>
      <c r="D36" s="66" t="s">
        <v>49</v>
      </c>
      <c r="E36" s="67" t="s">
        <v>65</v>
      </c>
      <c r="F36" s="450">
        <f>ROUND(469.85,15)</f>
        <v>469.85</v>
      </c>
      <c r="G36" s="440">
        <f t="shared" si="2"/>
        <v>80.356217553400086</v>
      </c>
      <c r="H36" s="451">
        <f>ROUND(F36*G36,15)</f>
        <v>37755.368817465001</v>
      </c>
      <c r="I36" s="521">
        <v>96.44</v>
      </c>
    </row>
    <row r="37" spans="1:9" ht="15.75" thickTop="1" thickBot="1">
      <c r="A37" s="51"/>
      <c r="B37" s="52"/>
      <c r="C37" s="52"/>
      <c r="D37" s="53"/>
      <c r="E37" s="394" t="s">
        <v>61</v>
      </c>
      <c r="F37" s="395"/>
      <c r="G37" s="396">
        <f>H35+H36</f>
        <v>38447.678793001804</v>
      </c>
      <c r="H37" s="397">
        <f>ROUND(G37,15)</f>
        <v>38447.678793001804</v>
      </c>
      <c r="I37" s="522"/>
    </row>
    <row r="38" spans="1:9" ht="15.75" thickTop="1" thickBot="1">
      <c r="A38" s="51"/>
      <c r="B38" s="52"/>
      <c r="C38" s="52"/>
      <c r="D38" s="53"/>
      <c r="E38" s="398" t="s">
        <v>41</v>
      </c>
      <c r="F38" s="399"/>
      <c r="G38" s="400">
        <f>H29+H33+H37</f>
        <v>92981.000057649391</v>
      </c>
      <c r="H38" s="401">
        <f>ROUND(G38,15)</f>
        <v>92981.000057649406</v>
      </c>
      <c r="I38" s="522"/>
    </row>
    <row r="39" spans="1:9" ht="15.75" thickTop="1" thickBot="1">
      <c r="A39" s="206" t="s">
        <v>66</v>
      </c>
      <c r="B39" s="207"/>
      <c r="C39" s="207" t="s">
        <v>38</v>
      </c>
      <c r="D39" s="208"/>
      <c r="E39" s="209" t="s">
        <v>67</v>
      </c>
      <c r="F39" s="210"/>
      <c r="G39" s="211">
        <f>G41</f>
        <v>10452.757276680901</v>
      </c>
      <c r="H39" s="212">
        <f>ROUND(G39,15)</f>
        <v>10452.757276680901</v>
      </c>
      <c r="I39" s="522"/>
    </row>
    <row r="40" spans="1:9" ht="26.1" customHeight="1" thickTop="1" thickBot="1">
      <c r="A40" s="98">
        <v>99059</v>
      </c>
      <c r="B40" s="99" t="s">
        <v>45</v>
      </c>
      <c r="C40" s="70" t="s">
        <v>46</v>
      </c>
      <c r="D40" s="70" t="s">
        <v>68</v>
      </c>
      <c r="E40" s="71" t="s">
        <v>69</v>
      </c>
      <c r="F40" s="444">
        <f>ROUND(278.22,15)</f>
        <v>278.22000000000003</v>
      </c>
      <c r="G40" s="437">
        <f t="shared" ref="G40" si="3">I40*(100%-$I$14)</f>
        <v>37.570114573650045</v>
      </c>
      <c r="H40" s="445">
        <f>ROUND(F40*G40,15)</f>
        <v>10452.757276680901</v>
      </c>
      <c r="I40" s="520">
        <v>45.09</v>
      </c>
    </row>
    <row r="41" spans="1:9" ht="15.75" thickTop="1" thickBot="1">
      <c r="A41" s="51"/>
      <c r="B41" s="52"/>
      <c r="C41" s="52"/>
      <c r="D41" s="53"/>
      <c r="E41" s="386" t="s">
        <v>66</v>
      </c>
      <c r="F41" s="387"/>
      <c r="G41" s="388">
        <f>H40</f>
        <v>10452.757276680901</v>
      </c>
      <c r="H41" s="389">
        <f>ROUND(G41,15)</f>
        <v>10452.757276680901</v>
      </c>
      <c r="I41" s="522"/>
    </row>
    <row r="42" spans="1:9" ht="15.75" thickTop="1" thickBot="1">
      <c r="A42" s="206" t="s">
        <v>70</v>
      </c>
      <c r="B42" s="207"/>
      <c r="C42" s="207" t="s">
        <v>38</v>
      </c>
      <c r="D42" s="208"/>
      <c r="E42" s="209" t="s">
        <v>71</v>
      </c>
      <c r="F42" s="210"/>
      <c r="G42" s="211">
        <f>G51</f>
        <v>15454.581798228384</v>
      </c>
      <c r="H42" s="212">
        <f>ROUND(G42,15)</f>
        <v>15454.581798228401</v>
      </c>
      <c r="I42" s="522"/>
    </row>
    <row r="43" spans="1:9" ht="26.1" customHeight="1" thickTop="1" thickBot="1">
      <c r="A43" s="90">
        <v>98525</v>
      </c>
      <c r="B43" s="91" t="s">
        <v>45</v>
      </c>
      <c r="C43" s="54" t="s">
        <v>46</v>
      </c>
      <c r="D43" s="54" t="s">
        <v>49</v>
      </c>
      <c r="E43" s="55" t="s">
        <v>72</v>
      </c>
      <c r="F43" s="436">
        <f>ROUND(2607,15)</f>
        <v>2607</v>
      </c>
      <c r="G43" s="437">
        <f t="shared" ref="G43:G50" si="4">I43*(100%-$I$14)</f>
        <v>0.22497074595000027</v>
      </c>
      <c r="H43" s="438">
        <f t="shared" ref="H43:H50" si="5">ROUND(F43*G43,15)</f>
        <v>586.49873469165095</v>
      </c>
      <c r="I43" s="520">
        <v>0.27</v>
      </c>
    </row>
    <row r="44" spans="1:9" ht="26.1" customHeight="1" thickBot="1">
      <c r="A44" s="92">
        <v>98528</v>
      </c>
      <c r="B44" s="93" t="s">
        <v>45</v>
      </c>
      <c r="C44" s="58" t="s">
        <v>46</v>
      </c>
      <c r="D44" s="58" t="s">
        <v>47</v>
      </c>
      <c r="E44" s="59" t="s">
        <v>73</v>
      </c>
      <c r="F44" s="437">
        <f>ROUND(7,15)</f>
        <v>7</v>
      </c>
      <c r="G44" s="437">
        <f t="shared" si="4"/>
        <v>156.16302668870017</v>
      </c>
      <c r="H44" s="439">
        <f t="shared" si="5"/>
        <v>1093.1411868209</v>
      </c>
      <c r="I44" s="520">
        <v>187.42</v>
      </c>
    </row>
    <row r="45" spans="1:9" ht="26.1" customHeight="1" thickBot="1">
      <c r="A45" s="92">
        <v>98531</v>
      </c>
      <c r="B45" s="93" t="s">
        <v>45</v>
      </c>
      <c r="C45" s="58" t="s">
        <v>46</v>
      </c>
      <c r="D45" s="58" t="s">
        <v>47</v>
      </c>
      <c r="E45" s="59" t="s">
        <v>74</v>
      </c>
      <c r="F45" s="437">
        <f>ROUND(7,15)</f>
        <v>7</v>
      </c>
      <c r="G45" s="437">
        <f t="shared" si="4"/>
        <v>175.7188170866502</v>
      </c>
      <c r="H45" s="439">
        <f t="shared" si="5"/>
        <v>1230.03171960655</v>
      </c>
      <c r="I45" s="520">
        <v>210.89</v>
      </c>
    </row>
    <row r="46" spans="1:9" ht="26.1" customHeight="1" thickBot="1">
      <c r="A46" s="92" t="s">
        <v>75</v>
      </c>
      <c r="B46" s="93" t="s">
        <v>45</v>
      </c>
      <c r="C46" s="58" t="s">
        <v>46</v>
      </c>
      <c r="D46" s="58" t="s">
        <v>76</v>
      </c>
      <c r="E46" s="59" t="s">
        <v>77</v>
      </c>
      <c r="F46" s="437">
        <f>ROUND(357.03,15)</f>
        <v>357.03</v>
      </c>
      <c r="G46" s="437">
        <f t="shared" si="4"/>
        <v>3.3745611892500036</v>
      </c>
      <c r="H46" s="439">
        <f t="shared" si="5"/>
        <v>1204.8195813979301</v>
      </c>
      <c r="I46" s="520">
        <v>4.05</v>
      </c>
    </row>
    <row r="47" spans="1:9" ht="26.1" customHeight="1" thickBot="1">
      <c r="A47" s="92">
        <v>96385</v>
      </c>
      <c r="B47" s="93" t="s">
        <v>45</v>
      </c>
      <c r="C47" s="58" t="s">
        <v>46</v>
      </c>
      <c r="D47" s="58" t="s">
        <v>76</v>
      </c>
      <c r="E47" s="59" t="s">
        <v>78</v>
      </c>
      <c r="F47" s="437">
        <f>ROUND(280.67,15)</f>
        <v>280.67</v>
      </c>
      <c r="G47" s="437">
        <f t="shared" si="4"/>
        <v>5.7742491460500069</v>
      </c>
      <c r="H47" s="439">
        <f t="shared" si="5"/>
        <v>1620.65850782186</v>
      </c>
      <c r="I47" s="520">
        <v>6.93</v>
      </c>
    </row>
    <row r="48" spans="1:9" ht="26.1" customHeight="1" thickBot="1">
      <c r="A48" s="92" t="s">
        <v>79</v>
      </c>
      <c r="B48" s="93" t="s">
        <v>45</v>
      </c>
      <c r="C48" s="58" t="s">
        <v>46</v>
      </c>
      <c r="D48" s="58" t="s">
        <v>76</v>
      </c>
      <c r="E48" s="59" t="s">
        <v>1488</v>
      </c>
      <c r="F48" s="437">
        <f>ROUND(762.64,15)</f>
        <v>762.64</v>
      </c>
      <c r="G48" s="437">
        <f t="shared" si="4"/>
        <v>2.2580397093500024</v>
      </c>
      <c r="H48" s="439">
        <f t="shared" si="5"/>
        <v>1722.0714039386901</v>
      </c>
      <c r="I48" s="520">
        <v>2.71</v>
      </c>
    </row>
    <row r="49" spans="1:9" ht="26.1" customHeight="1" thickBot="1">
      <c r="A49" s="92">
        <v>95878</v>
      </c>
      <c r="B49" s="93" t="s">
        <v>45</v>
      </c>
      <c r="C49" s="58" t="s">
        <v>46</v>
      </c>
      <c r="D49" s="58" t="s">
        <v>80</v>
      </c>
      <c r="E49" s="59" t="s">
        <v>1487</v>
      </c>
      <c r="F49" s="437">
        <f>ROUND(8702.04,15)</f>
        <v>8702.0400000000009</v>
      </c>
      <c r="G49" s="437">
        <f t="shared" si="4"/>
        <v>0.80822823545000089</v>
      </c>
      <c r="H49" s="439">
        <f t="shared" si="5"/>
        <v>7033.2344340153304</v>
      </c>
      <c r="I49" s="520">
        <v>0.97</v>
      </c>
    </row>
    <row r="50" spans="1:9" ht="26.1" customHeight="1" thickBot="1">
      <c r="A50" s="96" t="s">
        <v>81</v>
      </c>
      <c r="B50" s="97" t="s">
        <v>57</v>
      </c>
      <c r="C50" s="60" t="s">
        <v>46</v>
      </c>
      <c r="D50" s="60" t="s">
        <v>49</v>
      </c>
      <c r="E50" s="61" t="s">
        <v>82</v>
      </c>
      <c r="F50" s="442">
        <f>ROUND(3938.4,15)</f>
        <v>3938.4</v>
      </c>
      <c r="G50" s="437">
        <f t="shared" si="4"/>
        <v>0.24480150059300029</v>
      </c>
      <c r="H50" s="443">
        <f t="shared" si="5"/>
        <v>964.126229935472</v>
      </c>
      <c r="I50" s="520">
        <v>0.29380000000000001</v>
      </c>
    </row>
    <row r="51" spans="1:9" ht="15.75" thickTop="1" thickBot="1">
      <c r="A51" s="75"/>
      <c r="B51" s="76"/>
      <c r="C51" s="76"/>
      <c r="D51" s="77"/>
      <c r="E51" s="390" t="s">
        <v>70</v>
      </c>
      <c r="F51" s="391"/>
      <c r="G51" s="392">
        <f>H43+H44+H45+H46+H47+H48+H49+H50</f>
        <v>15454.581798228384</v>
      </c>
      <c r="H51" s="393">
        <f>ROUND(G51,15)</f>
        <v>15454.581798228401</v>
      </c>
      <c r="I51" s="522"/>
    </row>
    <row r="52" spans="1:9" ht="15.75" thickTop="1" thickBot="1">
      <c r="A52" s="213" t="s">
        <v>83</v>
      </c>
      <c r="B52" s="214"/>
      <c r="C52" s="214" t="s">
        <v>38</v>
      </c>
      <c r="D52" s="215"/>
      <c r="E52" s="216" t="s">
        <v>84</v>
      </c>
      <c r="F52" s="217"/>
      <c r="G52" s="218">
        <f>G84</f>
        <v>68204.047359719581</v>
      </c>
      <c r="H52" s="219">
        <f>ROUND(G52,15)</f>
        <v>68204.047359719596</v>
      </c>
      <c r="I52" s="522"/>
    </row>
    <row r="53" spans="1:9" ht="15" thickBot="1">
      <c r="A53" s="220" t="s">
        <v>85</v>
      </c>
      <c r="B53" s="221"/>
      <c r="C53" s="221" t="s">
        <v>38</v>
      </c>
      <c r="D53" s="222"/>
      <c r="E53" s="223" t="s">
        <v>86</v>
      </c>
      <c r="F53" s="224"/>
      <c r="G53" s="225">
        <f>G71</f>
        <v>33441.192327669822</v>
      </c>
      <c r="H53" s="226">
        <f>ROUND(G53,15)</f>
        <v>33441.1923276698</v>
      </c>
      <c r="I53" s="522"/>
    </row>
    <row r="54" spans="1:9" ht="36" customHeight="1" thickTop="1" thickBot="1">
      <c r="A54" s="90">
        <v>95568</v>
      </c>
      <c r="B54" s="91" t="s">
        <v>45</v>
      </c>
      <c r="C54" s="54" t="s">
        <v>46</v>
      </c>
      <c r="D54" s="54" t="s">
        <v>68</v>
      </c>
      <c r="E54" s="55" t="s">
        <v>87</v>
      </c>
      <c r="F54" s="436">
        <f>ROUND(205.71,15)</f>
        <v>205.71</v>
      </c>
      <c r="G54" s="437">
        <f t="shared" ref="G54:G70" si="6">I54*(100%-$I$14)</f>
        <v>69.582618497350083</v>
      </c>
      <c r="H54" s="438">
        <f t="shared" ref="H54:H70" si="7">ROUND(F54*G54,15)</f>
        <v>14313.8404510899</v>
      </c>
      <c r="I54" s="520">
        <v>83.51</v>
      </c>
    </row>
    <row r="55" spans="1:9" ht="50.1" customHeight="1" thickBot="1">
      <c r="A55" s="92">
        <v>90106</v>
      </c>
      <c r="B55" s="93" t="s">
        <v>45</v>
      </c>
      <c r="C55" s="58" t="s">
        <v>46</v>
      </c>
      <c r="D55" s="58" t="s">
        <v>76</v>
      </c>
      <c r="E55" s="59" t="s">
        <v>1489</v>
      </c>
      <c r="F55" s="437">
        <f>ROUND(277.19,15)</f>
        <v>277.19</v>
      </c>
      <c r="G55" s="437">
        <f t="shared" si="6"/>
        <v>4.4327569202000054</v>
      </c>
      <c r="H55" s="439">
        <f t="shared" si="7"/>
        <v>1228.71589071024</v>
      </c>
      <c r="I55" s="520">
        <v>5.32</v>
      </c>
    </row>
    <row r="56" spans="1:9" ht="26.1" customHeight="1" thickBot="1">
      <c r="A56" s="92">
        <v>94097</v>
      </c>
      <c r="B56" s="93" t="s">
        <v>45</v>
      </c>
      <c r="C56" s="58" t="s">
        <v>46</v>
      </c>
      <c r="D56" s="58" t="s">
        <v>49</v>
      </c>
      <c r="E56" s="59" t="s">
        <v>88</v>
      </c>
      <c r="F56" s="437">
        <f>ROUND(185.14,15)</f>
        <v>185.14</v>
      </c>
      <c r="G56" s="437">
        <f t="shared" si="6"/>
        <v>4.3577666715500056</v>
      </c>
      <c r="H56" s="439">
        <f t="shared" si="7"/>
        <v>806.79692157076795</v>
      </c>
      <c r="I56" s="520">
        <v>5.23</v>
      </c>
    </row>
    <row r="57" spans="1:9" ht="36" customHeight="1" thickBot="1">
      <c r="A57" s="92">
        <v>93379</v>
      </c>
      <c r="B57" s="93" t="s">
        <v>45</v>
      </c>
      <c r="C57" s="58" t="s">
        <v>46</v>
      </c>
      <c r="D57" s="58" t="s">
        <v>76</v>
      </c>
      <c r="E57" s="59" t="s">
        <v>89</v>
      </c>
      <c r="F57" s="437">
        <f>ROUND(211.84,15)</f>
        <v>211.84</v>
      </c>
      <c r="G57" s="437">
        <f t="shared" si="6"/>
        <v>10.781931305900013</v>
      </c>
      <c r="H57" s="439">
        <f t="shared" si="7"/>
        <v>2284.0443278418602</v>
      </c>
      <c r="I57" s="520">
        <v>12.94</v>
      </c>
    </row>
    <row r="58" spans="1:9" ht="36" customHeight="1" thickBot="1">
      <c r="A58" s="92">
        <v>95571</v>
      </c>
      <c r="B58" s="93" t="s">
        <v>45</v>
      </c>
      <c r="C58" s="58" t="s">
        <v>46</v>
      </c>
      <c r="D58" s="58" t="s">
        <v>68</v>
      </c>
      <c r="E58" s="59" t="s">
        <v>90</v>
      </c>
      <c r="F58" s="437">
        <f>ROUND(46.62,15)</f>
        <v>46.62</v>
      </c>
      <c r="G58" s="437">
        <f t="shared" si="6"/>
        <v>75.43185789205009</v>
      </c>
      <c r="H58" s="439">
        <f t="shared" si="7"/>
        <v>3516.6332149273699</v>
      </c>
      <c r="I58" s="520">
        <v>90.53</v>
      </c>
    </row>
    <row r="59" spans="1:9" ht="36" customHeight="1" thickBot="1">
      <c r="A59" s="92">
        <v>90100</v>
      </c>
      <c r="B59" s="93" t="s">
        <v>45</v>
      </c>
      <c r="C59" s="58" t="s">
        <v>46</v>
      </c>
      <c r="D59" s="58" t="s">
        <v>76</v>
      </c>
      <c r="E59" s="59" t="s">
        <v>91</v>
      </c>
      <c r="F59" s="437">
        <f>ROUND(55.37,15)</f>
        <v>55.37</v>
      </c>
      <c r="G59" s="437">
        <f t="shared" si="6"/>
        <v>7.4323668662000086</v>
      </c>
      <c r="H59" s="439">
        <f t="shared" si="7"/>
        <v>411.53015338149402</v>
      </c>
      <c r="I59" s="520">
        <v>8.92</v>
      </c>
    </row>
    <row r="60" spans="1:9" ht="26.1" customHeight="1" thickBot="1">
      <c r="A60" s="92">
        <v>94037</v>
      </c>
      <c r="B60" s="93" t="s">
        <v>45</v>
      </c>
      <c r="C60" s="58" t="s">
        <v>46</v>
      </c>
      <c r="D60" s="58" t="s">
        <v>49</v>
      </c>
      <c r="E60" s="59" t="s">
        <v>92</v>
      </c>
      <c r="F60" s="437">
        <f>ROUND(123.05,15)</f>
        <v>123.05</v>
      </c>
      <c r="G60" s="437">
        <f t="shared" si="6"/>
        <v>15.314675224300018</v>
      </c>
      <c r="H60" s="439">
        <f t="shared" si="7"/>
        <v>1884.4707863501201</v>
      </c>
      <c r="I60" s="520">
        <v>18.38</v>
      </c>
    </row>
    <row r="61" spans="1:9" ht="26.1" customHeight="1" thickBot="1">
      <c r="A61" s="92">
        <v>94098</v>
      </c>
      <c r="B61" s="93" t="s">
        <v>45</v>
      </c>
      <c r="C61" s="58" t="s">
        <v>46</v>
      </c>
      <c r="D61" s="58" t="s">
        <v>49</v>
      </c>
      <c r="E61" s="59" t="s">
        <v>93</v>
      </c>
      <c r="F61" s="437">
        <f>ROUND(41.96,15)</f>
        <v>41.96</v>
      </c>
      <c r="G61" s="437">
        <f t="shared" si="6"/>
        <v>4.9760196104200061</v>
      </c>
      <c r="H61" s="439">
        <f t="shared" si="7"/>
        <v>208.79378285322301</v>
      </c>
      <c r="I61" s="520">
        <v>5.9720000000000004</v>
      </c>
    </row>
    <row r="62" spans="1:9" ht="34.5" thickBot="1">
      <c r="A62" s="92">
        <v>93375</v>
      </c>
      <c r="B62" s="93" t="s">
        <v>45</v>
      </c>
      <c r="C62" s="58" t="s">
        <v>46</v>
      </c>
      <c r="D62" s="58" t="s">
        <v>76</v>
      </c>
      <c r="E62" s="59" t="s">
        <v>94</v>
      </c>
      <c r="F62" s="437">
        <f>ROUND(49.51,15)</f>
        <v>49.51</v>
      </c>
      <c r="G62" s="437">
        <f t="shared" si="6"/>
        <v>11.481840293300014</v>
      </c>
      <c r="H62" s="439">
        <f t="shared" si="7"/>
        <v>568.46591292128403</v>
      </c>
      <c r="I62" s="520">
        <v>13.78</v>
      </c>
    </row>
    <row r="63" spans="1:9" ht="15" thickBot="1">
      <c r="A63" s="94">
        <v>99063</v>
      </c>
      <c r="B63" s="95" t="s">
        <v>45</v>
      </c>
      <c r="C63" s="74" t="s">
        <v>46</v>
      </c>
      <c r="D63" s="74" t="s">
        <v>68</v>
      </c>
      <c r="E63" s="78" t="s">
        <v>95</v>
      </c>
      <c r="F63" s="440">
        <f>ROUND(252.33,15)</f>
        <v>252.33</v>
      </c>
      <c r="G63" s="440">
        <f t="shared" si="6"/>
        <v>3.3745611892500036</v>
      </c>
      <c r="H63" s="441">
        <f t="shared" si="7"/>
        <v>851.50302488345301</v>
      </c>
      <c r="I63" s="521">
        <v>4.05</v>
      </c>
    </row>
    <row r="64" spans="1:9" ht="26.1" customHeight="1" thickBot="1">
      <c r="A64" s="92">
        <v>90730</v>
      </c>
      <c r="B64" s="93" t="s">
        <v>45</v>
      </c>
      <c r="C64" s="58" t="s">
        <v>46</v>
      </c>
      <c r="D64" s="58" t="s">
        <v>47</v>
      </c>
      <c r="E64" s="59" t="s">
        <v>96</v>
      </c>
      <c r="F64" s="437">
        <f>ROUND(14,15)</f>
        <v>14</v>
      </c>
      <c r="G64" s="437">
        <f t="shared" si="6"/>
        <v>39.769828534050042</v>
      </c>
      <c r="H64" s="439">
        <f t="shared" si="7"/>
        <v>556.77759947670097</v>
      </c>
      <c r="I64" s="520">
        <v>47.73</v>
      </c>
    </row>
    <row r="65" spans="1:9" ht="26.1" customHeight="1" thickBot="1">
      <c r="A65" s="96">
        <v>83659</v>
      </c>
      <c r="B65" s="97" t="s">
        <v>45</v>
      </c>
      <c r="C65" s="60" t="s">
        <v>46</v>
      </c>
      <c r="D65" s="60" t="s">
        <v>47</v>
      </c>
      <c r="E65" s="61" t="s">
        <v>1337</v>
      </c>
      <c r="F65" s="442">
        <f>ROUND(7,15)</f>
        <v>7</v>
      </c>
      <c r="G65" s="442">
        <f t="shared" si="6"/>
        <v>836.30791744450096</v>
      </c>
      <c r="H65" s="443">
        <f t="shared" si="7"/>
        <v>5854.1554221115102</v>
      </c>
      <c r="I65" s="520">
        <v>1003.7</v>
      </c>
    </row>
    <row r="66" spans="1:9" ht="26.1" customHeight="1" thickTop="1" thickBot="1">
      <c r="A66" s="90" t="s">
        <v>97</v>
      </c>
      <c r="B66" s="91" t="s">
        <v>45</v>
      </c>
      <c r="C66" s="54" t="s">
        <v>46</v>
      </c>
      <c r="D66" s="54" t="s">
        <v>47</v>
      </c>
      <c r="E66" s="55" t="s">
        <v>98</v>
      </c>
      <c r="F66" s="436">
        <f>ROUND(1,15)</f>
        <v>1</v>
      </c>
      <c r="G66" s="436">
        <f t="shared" si="6"/>
        <v>288.25418356075033</v>
      </c>
      <c r="H66" s="438">
        <f t="shared" si="7"/>
        <v>288.25418356074999</v>
      </c>
      <c r="I66" s="520">
        <v>345.95</v>
      </c>
    </row>
    <row r="67" spans="1:9" ht="50.1" customHeight="1" thickBot="1">
      <c r="A67" s="92">
        <v>90105</v>
      </c>
      <c r="B67" s="93" t="s">
        <v>45</v>
      </c>
      <c r="C67" s="58" t="s">
        <v>46</v>
      </c>
      <c r="D67" s="58" t="s">
        <v>76</v>
      </c>
      <c r="E67" s="59" t="s">
        <v>1336</v>
      </c>
      <c r="F67" s="437">
        <f>ROUND(0.72,15)</f>
        <v>0.72</v>
      </c>
      <c r="G67" s="437">
        <f t="shared" si="6"/>
        <v>5.2159884061000055</v>
      </c>
      <c r="H67" s="439">
        <f t="shared" si="7"/>
        <v>3.7555116523919998</v>
      </c>
      <c r="I67" s="520">
        <v>6.26</v>
      </c>
    </row>
    <row r="68" spans="1:9" ht="26.1" customHeight="1" thickBot="1">
      <c r="A68" s="92">
        <v>98115</v>
      </c>
      <c r="B68" s="93" t="s">
        <v>45</v>
      </c>
      <c r="C68" s="58" t="s">
        <v>46</v>
      </c>
      <c r="D68" s="58" t="s">
        <v>47</v>
      </c>
      <c r="E68" s="59" t="s">
        <v>99</v>
      </c>
      <c r="F68" s="437">
        <f>ROUND(1,15)</f>
        <v>1</v>
      </c>
      <c r="G68" s="437">
        <f t="shared" si="6"/>
        <v>85.39722871265009</v>
      </c>
      <c r="H68" s="439">
        <f t="shared" si="7"/>
        <v>85.397228712650104</v>
      </c>
      <c r="I68" s="520">
        <v>102.49</v>
      </c>
    </row>
    <row r="69" spans="1:9" ht="36" customHeight="1" thickBot="1">
      <c r="A69" s="92" t="s">
        <v>100</v>
      </c>
      <c r="B69" s="93" t="s">
        <v>45</v>
      </c>
      <c r="C69" s="58" t="s">
        <v>46</v>
      </c>
      <c r="D69" s="58" t="s">
        <v>76</v>
      </c>
      <c r="E69" s="59" t="s">
        <v>101</v>
      </c>
      <c r="F69" s="437">
        <f>ROUND(42.49,15)</f>
        <v>42.49</v>
      </c>
      <c r="G69" s="437">
        <f t="shared" si="6"/>
        <v>1.2498374775000014</v>
      </c>
      <c r="H69" s="439">
        <f t="shared" si="7"/>
        <v>53.105594418975102</v>
      </c>
      <c r="I69" s="520">
        <v>1.5</v>
      </c>
    </row>
    <row r="70" spans="1:9" ht="26.1" customHeight="1" thickBot="1">
      <c r="A70" s="96">
        <v>95878</v>
      </c>
      <c r="B70" s="97" t="s">
        <v>45</v>
      </c>
      <c r="C70" s="60" t="s">
        <v>46</v>
      </c>
      <c r="D70" s="60" t="s">
        <v>80</v>
      </c>
      <c r="E70" s="61" t="s">
        <v>1335</v>
      </c>
      <c r="F70" s="442">
        <f>ROUND(649.51,15)</f>
        <v>649.51</v>
      </c>
      <c r="G70" s="437">
        <f t="shared" si="6"/>
        <v>0.80822823545000089</v>
      </c>
      <c r="H70" s="443">
        <f t="shared" si="7"/>
        <v>524.95232120713001</v>
      </c>
      <c r="I70" s="520">
        <v>0.97</v>
      </c>
    </row>
    <row r="71" spans="1:9" ht="15.75" thickTop="1" thickBot="1">
      <c r="A71" s="75"/>
      <c r="B71" s="76"/>
      <c r="C71" s="76"/>
      <c r="D71" s="77"/>
      <c r="E71" s="402" t="s">
        <v>85</v>
      </c>
      <c r="F71" s="403"/>
      <c r="G71" s="404">
        <f>H54+H55+H56+H57+H58+H59+H60+H61+H62+H63+H64+H65+H66+H67+H68+H69+H70</f>
        <v>33441.192327669822</v>
      </c>
      <c r="H71" s="405">
        <f>ROUND(G71,15)</f>
        <v>33441.1923276698</v>
      </c>
      <c r="I71" s="522"/>
    </row>
    <row r="72" spans="1:9" ht="15.75" thickTop="1" thickBot="1">
      <c r="A72" s="227" t="s">
        <v>102</v>
      </c>
      <c r="B72" s="228"/>
      <c r="C72" s="228" t="s">
        <v>38</v>
      </c>
      <c r="D72" s="229"/>
      <c r="E72" s="230" t="s">
        <v>103</v>
      </c>
      <c r="F72" s="231"/>
      <c r="G72" s="232">
        <f>G76</f>
        <v>32605.956337504049</v>
      </c>
      <c r="H72" s="233">
        <f>ROUND(G72,15)</f>
        <v>32605.956337504002</v>
      </c>
      <c r="I72" s="522"/>
    </row>
    <row r="73" spans="1:9" ht="36" customHeight="1" thickTop="1" thickBot="1">
      <c r="A73" s="90">
        <v>94275</v>
      </c>
      <c r="B73" s="91" t="s">
        <v>45</v>
      </c>
      <c r="C73" s="54" t="s">
        <v>46</v>
      </c>
      <c r="D73" s="54" t="s">
        <v>68</v>
      </c>
      <c r="E73" s="55" t="s">
        <v>104</v>
      </c>
      <c r="F73" s="436">
        <f>ROUND(727.95,15)</f>
        <v>727.95</v>
      </c>
      <c r="G73" s="437">
        <f t="shared" ref="G73:G75" si="8">I73*(100%-$I$14)</f>
        <v>33.137357653450039</v>
      </c>
      <c r="H73" s="438">
        <f>ROUND(F73*G73,15)</f>
        <v>24122.339503829</v>
      </c>
      <c r="I73" s="520">
        <v>39.770000000000003</v>
      </c>
    </row>
    <row r="74" spans="1:9" ht="36" customHeight="1" thickBot="1">
      <c r="A74" s="92">
        <v>94276</v>
      </c>
      <c r="B74" s="93" t="s">
        <v>45</v>
      </c>
      <c r="C74" s="58" t="s">
        <v>46</v>
      </c>
      <c r="D74" s="58" t="s">
        <v>68</v>
      </c>
      <c r="E74" s="59" t="s">
        <v>105</v>
      </c>
      <c r="F74" s="437">
        <f>ROUND(30.57,15)</f>
        <v>30.57</v>
      </c>
      <c r="G74" s="437">
        <f t="shared" si="8"/>
        <v>36.120303099750046</v>
      </c>
      <c r="H74" s="439">
        <f>ROUND(F74*G74,15)</f>
        <v>1104.19766575936</v>
      </c>
      <c r="I74" s="520">
        <v>43.35</v>
      </c>
    </row>
    <row r="75" spans="1:9" ht="15" thickBot="1">
      <c r="A75" s="102">
        <v>83693</v>
      </c>
      <c r="B75" s="103" t="s">
        <v>45</v>
      </c>
      <c r="C75" s="66" t="s">
        <v>46</v>
      </c>
      <c r="D75" s="66" t="s">
        <v>49</v>
      </c>
      <c r="E75" s="67" t="s">
        <v>106</v>
      </c>
      <c r="F75" s="450">
        <f>ROUND(2123.85,15)</f>
        <v>2123.85</v>
      </c>
      <c r="G75" s="440">
        <f t="shared" si="8"/>
        <v>3.4745481874500039</v>
      </c>
      <c r="H75" s="451">
        <f>ROUND(F75*G75,15)</f>
        <v>7379.4191679156902</v>
      </c>
      <c r="I75" s="521">
        <v>4.17</v>
      </c>
    </row>
    <row r="76" spans="1:9" ht="15.75" thickTop="1" thickBot="1">
      <c r="A76" s="75"/>
      <c r="B76" s="76"/>
      <c r="C76" s="76"/>
      <c r="D76" s="77"/>
      <c r="E76" s="386" t="s">
        <v>102</v>
      </c>
      <c r="F76" s="387"/>
      <c r="G76" s="388">
        <f>H73+H74+H75</f>
        <v>32605.956337504049</v>
      </c>
      <c r="H76" s="389">
        <f>ROUND(G76,15)</f>
        <v>32605.956337504002</v>
      </c>
      <c r="I76" s="522"/>
    </row>
    <row r="77" spans="1:9" ht="15.75" thickTop="1" thickBot="1">
      <c r="A77" s="227" t="s">
        <v>107</v>
      </c>
      <c r="B77" s="228"/>
      <c r="C77" s="228" t="s">
        <v>38</v>
      </c>
      <c r="D77" s="229"/>
      <c r="E77" s="230" t="s">
        <v>108</v>
      </c>
      <c r="F77" s="231"/>
      <c r="G77" s="232">
        <f>G83</f>
        <v>2156.898694545775</v>
      </c>
      <c r="H77" s="233">
        <f>ROUND(G77,15)</f>
        <v>2156.89869454578</v>
      </c>
      <c r="I77" s="520"/>
    </row>
    <row r="78" spans="1:9" ht="26.1" customHeight="1" thickTop="1" thickBot="1">
      <c r="A78" s="90">
        <v>97636</v>
      </c>
      <c r="B78" s="91" t="s">
        <v>45</v>
      </c>
      <c r="C78" s="54" t="s">
        <v>46</v>
      </c>
      <c r="D78" s="54" t="s">
        <v>49</v>
      </c>
      <c r="E78" s="55" t="s">
        <v>1490</v>
      </c>
      <c r="F78" s="436">
        <f>ROUND(27,15)</f>
        <v>27</v>
      </c>
      <c r="G78" s="437">
        <f t="shared" ref="G78:G82" si="9">I78*(100%-$I$14)</f>
        <v>10.165344817000012</v>
      </c>
      <c r="H78" s="438">
        <f>ROUND(F78*G78,15)</f>
        <v>274.46431005900001</v>
      </c>
      <c r="I78" s="520">
        <v>12.2</v>
      </c>
    </row>
    <row r="79" spans="1:9" ht="15" thickBot="1">
      <c r="A79" s="94">
        <v>96401</v>
      </c>
      <c r="B79" s="95" t="s">
        <v>45</v>
      </c>
      <c r="C79" s="74" t="s">
        <v>46</v>
      </c>
      <c r="D79" s="74" t="s">
        <v>49</v>
      </c>
      <c r="E79" s="78" t="s">
        <v>109</v>
      </c>
      <c r="F79" s="440">
        <f>ROUND(27,15)</f>
        <v>27</v>
      </c>
      <c r="G79" s="440">
        <f t="shared" si="9"/>
        <v>5.5076171508500069</v>
      </c>
      <c r="H79" s="441">
        <f>ROUND(F79*G79,15)</f>
        <v>148.70566307294999</v>
      </c>
      <c r="I79" s="520">
        <v>6.61</v>
      </c>
    </row>
    <row r="80" spans="1:9" ht="15" thickBot="1">
      <c r="A80" s="94" t="s">
        <v>110</v>
      </c>
      <c r="B80" s="95" t="s">
        <v>57</v>
      </c>
      <c r="C80" s="74" t="s">
        <v>46</v>
      </c>
      <c r="D80" s="74" t="s">
        <v>49</v>
      </c>
      <c r="E80" s="78" t="s">
        <v>111</v>
      </c>
      <c r="F80" s="440">
        <f>ROUND(27,15)</f>
        <v>27</v>
      </c>
      <c r="G80" s="440">
        <f t="shared" si="9"/>
        <v>1.4914727231500018</v>
      </c>
      <c r="H80" s="441">
        <f>ROUND(F80*G80,15)</f>
        <v>40.269763525050003</v>
      </c>
      <c r="I80" s="520">
        <v>1.79</v>
      </c>
    </row>
    <row r="81" spans="1:9" ht="26.1" customHeight="1" thickBot="1">
      <c r="A81" s="92">
        <v>95995</v>
      </c>
      <c r="B81" s="93" t="s">
        <v>45</v>
      </c>
      <c r="C81" s="58" t="s">
        <v>46</v>
      </c>
      <c r="D81" s="58" t="s">
        <v>76</v>
      </c>
      <c r="E81" s="59" t="s">
        <v>112</v>
      </c>
      <c r="F81" s="437">
        <f>ROUND(2.16,15)</f>
        <v>2.16</v>
      </c>
      <c r="G81" s="437">
        <f t="shared" si="9"/>
        <v>762.23421627800087</v>
      </c>
      <c r="H81" s="439">
        <f>ROUND(F81*G81,15)</f>
        <v>1646.4259071604799</v>
      </c>
      <c r="I81" s="520">
        <v>914.8</v>
      </c>
    </row>
    <row r="82" spans="1:9" ht="26.1" customHeight="1" thickBot="1">
      <c r="A82" s="96">
        <v>95303</v>
      </c>
      <c r="B82" s="97" t="s">
        <v>45</v>
      </c>
      <c r="C82" s="60" t="s">
        <v>46</v>
      </c>
      <c r="D82" s="60" t="s">
        <v>113</v>
      </c>
      <c r="E82" s="61" t="s">
        <v>1491</v>
      </c>
      <c r="F82" s="442">
        <f>ROUND(60.05,15)</f>
        <v>60.05</v>
      </c>
      <c r="G82" s="437">
        <f t="shared" si="9"/>
        <v>0.78323148590000091</v>
      </c>
      <c r="H82" s="443">
        <f>ROUND(F82*G82,15)</f>
        <v>47.033050728295102</v>
      </c>
      <c r="I82" s="520">
        <v>0.94</v>
      </c>
    </row>
    <row r="83" spans="1:9" ht="15.75" thickTop="1" thickBot="1">
      <c r="A83" s="85"/>
      <c r="B83" s="86"/>
      <c r="C83" s="86"/>
      <c r="D83" s="141"/>
      <c r="E83" s="394" t="s">
        <v>107</v>
      </c>
      <c r="F83" s="395"/>
      <c r="G83" s="396">
        <f>H78+H79+H80+H81+H82</f>
        <v>2156.898694545775</v>
      </c>
      <c r="H83" s="397">
        <f>ROUND(G83,15)</f>
        <v>2156.89869454578</v>
      </c>
      <c r="I83" s="522"/>
    </row>
    <row r="84" spans="1:9" ht="15" thickBot="1">
      <c r="A84" s="75"/>
      <c r="B84" s="76"/>
      <c r="C84" s="76"/>
      <c r="D84" s="77"/>
      <c r="E84" s="398" t="s">
        <v>83</v>
      </c>
      <c r="F84" s="399"/>
      <c r="G84" s="400">
        <f>H71+H76+H83</f>
        <v>68204.047359719581</v>
      </c>
      <c r="H84" s="401">
        <f>ROUND(G84,15)</f>
        <v>68204.047359719596</v>
      </c>
      <c r="I84" s="522"/>
    </row>
    <row r="85" spans="1:9" ht="15.75" thickTop="1" thickBot="1">
      <c r="A85" s="213" t="s">
        <v>114</v>
      </c>
      <c r="B85" s="214"/>
      <c r="C85" s="214" t="s">
        <v>38</v>
      </c>
      <c r="D85" s="215"/>
      <c r="E85" s="234" t="s">
        <v>115</v>
      </c>
      <c r="F85" s="217"/>
      <c r="G85" s="218">
        <f>G109</f>
        <v>406301.15271744202</v>
      </c>
      <c r="H85" s="219">
        <f>ROUND(G85,15)</f>
        <v>406301.15271744202</v>
      </c>
      <c r="I85" s="522"/>
    </row>
    <row r="86" spans="1:9" ht="15" thickBot="1">
      <c r="A86" s="220" t="s">
        <v>116</v>
      </c>
      <c r="B86" s="221"/>
      <c r="C86" s="221" t="s">
        <v>38</v>
      </c>
      <c r="D86" s="222"/>
      <c r="E86" s="235" t="s">
        <v>117</v>
      </c>
      <c r="F86" s="224"/>
      <c r="G86" s="225">
        <f>G89</f>
        <v>8838.589474840719</v>
      </c>
      <c r="H86" s="226">
        <f>ROUND(G86,15)</f>
        <v>8838.5894748407209</v>
      </c>
      <c r="I86" s="522"/>
    </row>
    <row r="87" spans="1:9" ht="26.1" customHeight="1" thickTop="1" thickBot="1">
      <c r="A87" s="90">
        <v>100576</v>
      </c>
      <c r="B87" s="91" t="s">
        <v>45</v>
      </c>
      <c r="C87" s="54" t="s">
        <v>46</v>
      </c>
      <c r="D87" s="54" t="s">
        <v>49</v>
      </c>
      <c r="E87" s="55" t="s">
        <v>1492</v>
      </c>
      <c r="F87" s="436">
        <f>ROUND(3938.4,15)</f>
        <v>3938.4</v>
      </c>
      <c r="G87" s="437">
        <f t="shared" ref="G87:G88" si="10">I87*(100%-$I$14)</f>
        <v>1.2415052276500014</v>
      </c>
      <c r="H87" s="438">
        <f>ROUND(F87*G87,15)</f>
        <v>4889.5441885767696</v>
      </c>
      <c r="I87" s="520">
        <v>1.49</v>
      </c>
    </row>
    <row r="88" spans="1:9" ht="15" thickBot="1">
      <c r="A88" s="102" t="s">
        <v>118</v>
      </c>
      <c r="B88" s="103" t="s">
        <v>57</v>
      </c>
      <c r="C88" s="66" t="s">
        <v>46</v>
      </c>
      <c r="D88" s="88" t="s">
        <v>47</v>
      </c>
      <c r="E88" s="406" t="s">
        <v>119</v>
      </c>
      <c r="F88" s="448">
        <f>ROUND(3938.4,15)</f>
        <v>3938.4</v>
      </c>
      <c r="G88" s="448">
        <f t="shared" si="10"/>
        <v>1.0027029469490012</v>
      </c>
      <c r="H88" s="449">
        <f>ROUND(F88*G88,15)</f>
        <v>3949.0452862639499</v>
      </c>
      <c r="I88" s="521">
        <v>1.2034</v>
      </c>
    </row>
    <row r="89" spans="1:9" ht="15.75" thickTop="1" thickBot="1">
      <c r="A89" s="75"/>
      <c r="B89" s="76"/>
      <c r="C89" s="76"/>
      <c r="D89" s="77"/>
      <c r="E89" s="386" t="s">
        <v>116</v>
      </c>
      <c r="F89" s="387"/>
      <c r="G89" s="388">
        <f>H87+H88</f>
        <v>8838.589474840719</v>
      </c>
      <c r="H89" s="389">
        <f>ROUND(G89,15)</f>
        <v>8838.5894748407209</v>
      </c>
      <c r="I89" s="522"/>
    </row>
    <row r="90" spans="1:9" ht="15.75" thickTop="1" thickBot="1">
      <c r="A90" s="227" t="s">
        <v>120</v>
      </c>
      <c r="B90" s="228"/>
      <c r="C90" s="228" t="s">
        <v>38</v>
      </c>
      <c r="D90" s="229"/>
      <c r="E90" s="236" t="s">
        <v>121</v>
      </c>
      <c r="F90" s="231"/>
      <c r="G90" s="232">
        <f>G94</f>
        <v>70176.094658066155</v>
      </c>
      <c r="H90" s="233">
        <f>ROUND(G90,15)</f>
        <v>70176.094658066198</v>
      </c>
      <c r="I90" s="522"/>
    </row>
    <row r="91" spans="1:9" ht="36" customHeight="1" thickTop="1" thickBot="1">
      <c r="A91" s="90">
        <v>100573</v>
      </c>
      <c r="B91" s="91" t="s">
        <v>45</v>
      </c>
      <c r="C91" s="54" t="s">
        <v>46</v>
      </c>
      <c r="D91" s="54" t="s">
        <v>76</v>
      </c>
      <c r="E91" s="55" t="s">
        <v>122</v>
      </c>
      <c r="F91" s="436">
        <f>ROUND(787.68,15)</f>
        <v>787.68</v>
      </c>
      <c r="G91" s="437">
        <f t="shared" ref="G91:G93" si="11">I91*(100%-$I$14)</f>
        <v>85.613867208750094</v>
      </c>
      <c r="H91" s="438">
        <f>ROUND(F91*G91,15)</f>
        <v>67436.330922988302</v>
      </c>
      <c r="I91" s="520">
        <v>102.75</v>
      </c>
    </row>
    <row r="92" spans="1:9" ht="26.1" customHeight="1" thickBot="1">
      <c r="A92" s="92" t="s">
        <v>79</v>
      </c>
      <c r="B92" s="93" t="s">
        <v>45</v>
      </c>
      <c r="C92" s="58" t="s">
        <v>46</v>
      </c>
      <c r="D92" s="58" t="s">
        <v>76</v>
      </c>
      <c r="E92" s="59" t="s">
        <v>1493</v>
      </c>
      <c r="F92" s="437">
        <f>ROUND(541.92,15)</f>
        <v>541.91999999999996</v>
      </c>
      <c r="G92" s="437">
        <f t="shared" si="11"/>
        <v>2.2580397093500024</v>
      </c>
      <c r="H92" s="439">
        <f>ROUND(F92*G92,15)</f>
        <v>1223.67687929095</v>
      </c>
      <c r="I92" s="520">
        <v>2.71</v>
      </c>
    </row>
    <row r="93" spans="1:9" ht="15" thickBot="1">
      <c r="A93" s="102" t="s">
        <v>123</v>
      </c>
      <c r="B93" s="103" t="s">
        <v>57</v>
      </c>
      <c r="C93" s="66" t="s">
        <v>46</v>
      </c>
      <c r="D93" s="66" t="s">
        <v>76</v>
      </c>
      <c r="E93" s="406" t="s">
        <v>124</v>
      </c>
      <c r="F93" s="448">
        <f>ROUND(787.68,15)</f>
        <v>787.68</v>
      </c>
      <c r="G93" s="448">
        <f t="shared" si="11"/>
        <v>1.9247497153500024</v>
      </c>
      <c r="H93" s="449">
        <f>ROUND(F93*G93,15)</f>
        <v>1516.0868557868901</v>
      </c>
      <c r="I93" s="521">
        <v>2.31</v>
      </c>
    </row>
    <row r="94" spans="1:9" ht="15.75" thickTop="1" thickBot="1">
      <c r="A94" s="75"/>
      <c r="B94" s="76"/>
      <c r="C94" s="76"/>
      <c r="D94" s="77"/>
      <c r="E94" s="386" t="s">
        <v>120</v>
      </c>
      <c r="F94" s="387"/>
      <c r="G94" s="388">
        <f>H91+H92+H93</f>
        <v>70176.094658066155</v>
      </c>
      <c r="H94" s="389">
        <f>ROUND(G94,15)</f>
        <v>70176.094658066198</v>
      </c>
      <c r="I94" s="522"/>
    </row>
    <row r="95" spans="1:9" ht="15.75" thickTop="1" thickBot="1">
      <c r="A95" s="227" t="s">
        <v>125</v>
      </c>
      <c r="B95" s="228"/>
      <c r="C95" s="228" t="s">
        <v>38</v>
      </c>
      <c r="D95" s="229"/>
      <c r="E95" s="236" t="s">
        <v>126</v>
      </c>
      <c r="F95" s="231"/>
      <c r="G95" s="232">
        <f>G99</f>
        <v>144164.76104872234</v>
      </c>
      <c r="H95" s="233">
        <f>ROUND(G95,15)</f>
        <v>144164.76104872199</v>
      </c>
      <c r="I95" s="522"/>
    </row>
    <row r="96" spans="1:9" ht="26.1" customHeight="1" thickTop="1" thickBot="1">
      <c r="A96" s="90">
        <v>96396</v>
      </c>
      <c r="B96" s="91" t="s">
        <v>45</v>
      </c>
      <c r="C96" s="54" t="s">
        <v>46</v>
      </c>
      <c r="D96" s="54" t="s">
        <v>76</v>
      </c>
      <c r="E96" s="55" t="s">
        <v>127</v>
      </c>
      <c r="F96" s="436">
        <f>ROUND(787.68,15)</f>
        <v>787.68</v>
      </c>
      <c r="G96" s="437">
        <f t="shared" ref="G96:G98" si="12">I96*(100%-$I$14)</f>
        <v>168.6447369640002</v>
      </c>
      <c r="H96" s="438">
        <f>ROUND(F96*G96,15)</f>
        <v>132838.08641180399</v>
      </c>
      <c r="I96" s="520">
        <v>202.4</v>
      </c>
    </row>
    <row r="97" spans="1:9" ht="15" thickBot="1">
      <c r="A97" s="94">
        <v>83356</v>
      </c>
      <c r="B97" s="95" t="s">
        <v>45</v>
      </c>
      <c r="C97" s="74" t="s">
        <v>46</v>
      </c>
      <c r="D97" s="74" t="s">
        <v>113</v>
      </c>
      <c r="E97" s="78" t="s">
        <v>128</v>
      </c>
      <c r="F97" s="440">
        <f>ROUND(15911.13,15)</f>
        <v>15911.13</v>
      </c>
      <c r="G97" s="440">
        <f t="shared" si="12"/>
        <v>0.61658648890000067</v>
      </c>
      <c r="H97" s="441">
        <f>ROUND(F97*G97,15)</f>
        <v>9810.5877811314695</v>
      </c>
      <c r="I97" s="521">
        <v>0.74</v>
      </c>
    </row>
    <row r="98" spans="1:9" ht="15" thickBot="1">
      <c r="A98" s="102" t="s">
        <v>123</v>
      </c>
      <c r="B98" s="103" t="s">
        <v>57</v>
      </c>
      <c r="C98" s="66" t="s">
        <v>46</v>
      </c>
      <c r="D98" s="66" t="s">
        <v>76</v>
      </c>
      <c r="E98" s="406" t="s">
        <v>124</v>
      </c>
      <c r="F98" s="448">
        <f>ROUND(787.68,15)</f>
        <v>787.68</v>
      </c>
      <c r="G98" s="448">
        <f t="shared" si="12"/>
        <v>1.9247497153500024</v>
      </c>
      <c r="H98" s="449">
        <f>ROUND(F98*G98,15)</f>
        <v>1516.0868557868901</v>
      </c>
      <c r="I98" s="521">
        <v>2.31</v>
      </c>
    </row>
    <row r="99" spans="1:9" ht="15.75" thickTop="1" thickBot="1">
      <c r="A99" s="75"/>
      <c r="B99" s="76"/>
      <c r="C99" s="76"/>
      <c r="D99" s="77"/>
      <c r="E99" s="386" t="s">
        <v>125</v>
      </c>
      <c r="F99" s="387"/>
      <c r="G99" s="388">
        <f>H96+H97+H98</f>
        <v>144164.76104872234</v>
      </c>
      <c r="H99" s="389">
        <f>ROUND(G99,15)</f>
        <v>144164.76104872199</v>
      </c>
      <c r="I99" s="522"/>
    </row>
    <row r="100" spans="1:9" ht="15.75" thickTop="1" thickBot="1">
      <c r="A100" s="227" t="s">
        <v>129</v>
      </c>
      <c r="B100" s="228"/>
      <c r="C100" s="228" t="s">
        <v>38</v>
      </c>
      <c r="D100" s="229"/>
      <c r="E100" s="236" t="s">
        <v>130</v>
      </c>
      <c r="F100" s="231"/>
      <c r="G100" s="232">
        <f>G105</f>
        <v>181033.23586003308</v>
      </c>
      <c r="H100" s="233">
        <f>ROUND(G100,15)</f>
        <v>181033.23586003299</v>
      </c>
      <c r="I100" s="522"/>
    </row>
    <row r="101" spans="1:9" ht="15.75" thickTop="1" thickBot="1">
      <c r="A101" s="100">
        <v>96401</v>
      </c>
      <c r="B101" s="101" t="s">
        <v>45</v>
      </c>
      <c r="C101" s="64" t="s">
        <v>46</v>
      </c>
      <c r="D101" s="64" t="s">
        <v>49</v>
      </c>
      <c r="E101" s="65" t="s">
        <v>109</v>
      </c>
      <c r="F101" s="446">
        <f>ROUND(3938.4,15)</f>
        <v>3938.4</v>
      </c>
      <c r="G101" s="440">
        <f t="shared" ref="G101:G104" si="13">I101*(100%-$I$14)</f>
        <v>5.5076171508500069</v>
      </c>
      <c r="H101" s="447">
        <f>ROUND(F101*G101,15)</f>
        <v>21691.199386907701</v>
      </c>
      <c r="I101" s="521">
        <v>6.61</v>
      </c>
    </row>
    <row r="102" spans="1:9" ht="15" thickBot="1">
      <c r="A102" s="94" t="s">
        <v>110</v>
      </c>
      <c r="B102" s="95" t="s">
        <v>57</v>
      </c>
      <c r="C102" s="74" t="s">
        <v>46</v>
      </c>
      <c r="D102" s="74" t="s">
        <v>49</v>
      </c>
      <c r="E102" s="78" t="s">
        <v>111</v>
      </c>
      <c r="F102" s="440">
        <f>ROUND(3938.4,15)</f>
        <v>3938.4</v>
      </c>
      <c r="G102" s="440">
        <f t="shared" si="13"/>
        <v>1.4914727231500018</v>
      </c>
      <c r="H102" s="441">
        <f>ROUND(F102*G102,15)</f>
        <v>5874.0161728539697</v>
      </c>
      <c r="I102" s="521">
        <v>1.79</v>
      </c>
    </row>
    <row r="103" spans="1:9" ht="26.1" customHeight="1" thickBot="1">
      <c r="A103" s="92" t="s">
        <v>131</v>
      </c>
      <c r="B103" s="93" t="s">
        <v>57</v>
      </c>
      <c r="C103" s="58" t="s">
        <v>46</v>
      </c>
      <c r="D103" s="58" t="s">
        <v>76</v>
      </c>
      <c r="E103" s="59" t="s">
        <v>1494</v>
      </c>
      <c r="F103" s="437">
        <f>ROUND(196.92,15)</f>
        <v>196.92</v>
      </c>
      <c r="G103" s="437">
        <f t="shared" si="13"/>
        <v>757.56815636200088</v>
      </c>
      <c r="H103" s="439">
        <f>ROUND(F103*G103,15)</f>
        <v>149180.321350805</v>
      </c>
      <c r="I103" s="520">
        <v>909.2</v>
      </c>
    </row>
    <row r="104" spans="1:9" ht="26.1" customHeight="1" thickBot="1">
      <c r="A104" s="96">
        <v>95303</v>
      </c>
      <c r="B104" s="97" t="s">
        <v>45</v>
      </c>
      <c r="C104" s="60" t="s">
        <v>46</v>
      </c>
      <c r="D104" s="60" t="s">
        <v>113</v>
      </c>
      <c r="E104" s="61" t="s">
        <v>1338</v>
      </c>
      <c r="F104" s="442">
        <f>ROUND(5474.37,15)</f>
        <v>5474.37</v>
      </c>
      <c r="G104" s="437">
        <f t="shared" si="13"/>
        <v>0.78323148590000091</v>
      </c>
      <c r="H104" s="443">
        <f>ROUND(F104*G104,15)</f>
        <v>4287.6989494663903</v>
      </c>
      <c r="I104" s="520">
        <v>0.94</v>
      </c>
    </row>
    <row r="105" spans="1:9" ht="15.75" thickTop="1" thickBot="1">
      <c r="A105" s="75"/>
      <c r="B105" s="76"/>
      <c r="C105" s="76"/>
      <c r="D105" s="77"/>
      <c r="E105" s="407" t="s">
        <v>129</v>
      </c>
      <c r="F105" s="408"/>
      <c r="G105" s="409">
        <f>H101+H102+H103+H104</f>
        <v>181033.23586003308</v>
      </c>
      <c r="H105" s="410">
        <f>ROUND(G105,15)</f>
        <v>181033.23586003299</v>
      </c>
      <c r="I105" s="522"/>
    </row>
    <row r="106" spans="1:9" ht="15.75" thickTop="1" thickBot="1">
      <c r="A106" s="227" t="s">
        <v>132</v>
      </c>
      <c r="B106" s="228"/>
      <c r="C106" s="228" t="s">
        <v>38</v>
      </c>
      <c r="D106" s="229"/>
      <c r="E106" s="236" t="s">
        <v>133</v>
      </c>
      <c r="F106" s="231"/>
      <c r="G106" s="232">
        <f>G108</f>
        <v>2088.4716757801202</v>
      </c>
      <c r="H106" s="233">
        <f>ROUND(G106,15)</f>
        <v>2088.4716757801202</v>
      </c>
      <c r="I106" s="522"/>
    </row>
    <row r="107" spans="1:9" ht="26.1" customHeight="1" thickTop="1" thickBot="1">
      <c r="A107" s="98">
        <v>72947</v>
      </c>
      <c r="B107" s="99" t="s">
        <v>45</v>
      </c>
      <c r="C107" s="70" t="s">
        <v>46</v>
      </c>
      <c r="D107" s="70" t="s">
        <v>49</v>
      </c>
      <c r="E107" s="71" t="s">
        <v>134</v>
      </c>
      <c r="F107" s="444">
        <f>ROUND(148.93,15)</f>
        <v>148.93</v>
      </c>
      <c r="G107" s="437">
        <f t="shared" ref="G107" si="14">I107*(100%-$I$14)</f>
        <v>14.023176497550015</v>
      </c>
      <c r="H107" s="445">
        <f>ROUND(F107*G107,15)</f>
        <v>2088.4716757801202</v>
      </c>
      <c r="I107" s="520">
        <v>16.829999999999998</v>
      </c>
    </row>
    <row r="108" spans="1:9" ht="15.75" thickTop="1" thickBot="1">
      <c r="A108" s="85"/>
      <c r="B108" s="86"/>
      <c r="C108" s="86"/>
      <c r="D108" s="141"/>
      <c r="E108" s="394" t="s">
        <v>132</v>
      </c>
      <c r="F108" s="395"/>
      <c r="G108" s="396">
        <f>H107</f>
        <v>2088.4716757801202</v>
      </c>
      <c r="H108" s="397">
        <f>ROUND(G108,15)</f>
        <v>2088.4716757801202</v>
      </c>
      <c r="I108" s="522"/>
    </row>
    <row r="109" spans="1:9" ht="15" thickBot="1">
      <c r="A109" s="75"/>
      <c r="B109" s="76"/>
      <c r="C109" s="76"/>
      <c r="D109" s="77"/>
      <c r="E109" s="398" t="s">
        <v>114</v>
      </c>
      <c r="F109" s="399"/>
      <c r="G109" s="400">
        <f>H89+H94+H99+H105+H108</f>
        <v>406301.15271744202</v>
      </c>
      <c r="H109" s="401">
        <f>ROUND(G109,15)</f>
        <v>406301.15271744202</v>
      </c>
      <c r="I109" s="522"/>
    </row>
    <row r="110" spans="1:9" ht="15.75" thickTop="1" thickBot="1">
      <c r="A110" s="237" t="s">
        <v>135</v>
      </c>
      <c r="B110" s="238"/>
      <c r="C110" s="238" t="s">
        <v>38</v>
      </c>
      <c r="D110" s="239"/>
      <c r="E110" s="240" t="s">
        <v>136</v>
      </c>
      <c r="F110" s="241"/>
      <c r="G110" s="242">
        <f>G117</f>
        <v>19143.617078202613</v>
      </c>
      <c r="H110" s="243">
        <f>ROUND(G110,15)</f>
        <v>19143.617078202598</v>
      </c>
      <c r="I110" s="522"/>
    </row>
    <row r="111" spans="1:9" ht="26.1" customHeight="1" thickTop="1" thickBot="1">
      <c r="A111" s="90">
        <v>97625</v>
      </c>
      <c r="B111" s="91" t="s">
        <v>45</v>
      </c>
      <c r="C111" s="54" t="s">
        <v>46</v>
      </c>
      <c r="D111" s="54" t="s">
        <v>76</v>
      </c>
      <c r="E111" s="55" t="s">
        <v>137</v>
      </c>
      <c r="F111" s="436">
        <f>ROUND(185.18,15)</f>
        <v>185.18</v>
      </c>
      <c r="G111" s="437">
        <f t="shared" ref="G111:G116" si="15">I111*(100%-$I$14)</f>
        <v>29.554490217950033</v>
      </c>
      <c r="H111" s="438">
        <f t="shared" ref="H111:H116" si="16">ROUND(F111*G111,15)</f>
        <v>5472.9004985599904</v>
      </c>
      <c r="I111" s="520">
        <v>35.47</v>
      </c>
    </row>
    <row r="112" spans="1:9" ht="26.1" customHeight="1" thickBot="1">
      <c r="A112" s="92">
        <v>97640</v>
      </c>
      <c r="B112" s="93" t="s">
        <v>45</v>
      </c>
      <c r="C112" s="58" t="s">
        <v>46</v>
      </c>
      <c r="D112" s="58" t="s">
        <v>49</v>
      </c>
      <c r="E112" s="59" t="s">
        <v>138</v>
      </c>
      <c r="F112" s="437">
        <f>ROUND(209.66,15)</f>
        <v>209.66</v>
      </c>
      <c r="G112" s="437">
        <f t="shared" si="15"/>
        <v>1.0998569802000013</v>
      </c>
      <c r="H112" s="439">
        <f t="shared" si="16"/>
        <v>230.59601446873199</v>
      </c>
      <c r="I112" s="520">
        <v>1.32</v>
      </c>
    </row>
    <row r="113" spans="1:9" ht="26.1" customHeight="1" thickBot="1">
      <c r="A113" s="92">
        <v>97647</v>
      </c>
      <c r="B113" s="93" t="s">
        <v>45</v>
      </c>
      <c r="C113" s="58" t="s">
        <v>46</v>
      </c>
      <c r="D113" s="58" t="s">
        <v>49</v>
      </c>
      <c r="E113" s="59" t="s">
        <v>139</v>
      </c>
      <c r="F113" s="437">
        <f>ROUND(742.4,15)</f>
        <v>742.4</v>
      </c>
      <c r="G113" s="437">
        <f t="shared" si="15"/>
        <v>2.3913557069500029</v>
      </c>
      <c r="H113" s="439">
        <f t="shared" si="16"/>
        <v>1775.3424768396801</v>
      </c>
      <c r="I113" s="520">
        <v>2.87</v>
      </c>
    </row>
    <row r="114" spans="1:9" ht="26.1" customHeight="1" thickBot="1">
      <c r="A114" s="92">
        <v>97634</v>
      </c>
      <c r="B114" s="93" t="s">
        <v>45</v>
      </c>
      <c r="C114" s="58" t="s">
        <v>46</v>
      </c>
      <c r="D114" s="58" t="s">
        <v>49</v>
      </c>
      <c r="E114" s="59" t="s">
        <v>1495</v>
      </c>
      <c r="F114" s="437">
        <f>ROUND(680.9,15)</f>
        <v>680.9</v>
      </c>
      <c r="G114" s="437">
        <f t="shared" si="15"/>
        <v>8.2989208506000107</v>
      </c>
      <c r="H114" s="439">
        <f t="shared" si="16"/>
        <v>5650.7352071735504</v>
      </c>
      <c r="I114" s="520">
        <v>9.9600000000000009</v>
      </c>
    </row>
    <row r="115" spans="1:9" ht="15" customHeight="1" thickBot="1">
      <c r="A115" s="94">
        <v>72898</v>
      </c>
      <c r="B115" s="95" t="s">
        <v>45</v>
      </c>
      <c r="C115" s="74" t="s">
        <v>46</v>
      </c>
      <c r="D115" s="74" t="s">
        <v>76</v>
      </c>
      <c r="E115" s="78" t="s">
        <v>1360</v>
      </c>
      <c r="F115" s="440">
        <f>ROUND(253.27,15)</f>
        <v>253.27</v>
      </c>
      <c r="G115" s="440">
        <f t="shared" si="15"/>
        <v>2.8329649490000031</v>
      </c>
      <c r="H115" s="441">
        <f t="shared" si="16"/>
        <v>717.50503263323105</v>
      </c>
      <c r="I115" s="521">
        <v>3.4</v>
      </c>
    </row>
    <row r="116" spans="1:9" ht="26.1" customHeight="1" thickBot="1">
      <c r="A116" s="96">
        <v>95878</v>
      </c>
      <c r="B116" s="97" t="s">
        <v>45</v>
      </c>
      <c r="C116" s="60" t="s">
        <v>46</v>
      </c>
      <c r="D116" s="60" t="s">
        <v>80</v>
      </c>
      <c r="E116" s="61" t="s">
        <v>1500</v>
      </c>
      <c r="F116" s="442">
        <f>ROUND(6553.27,15)</f>
        <v>6553.27</v>
      </c>
      <c r="G116" s="437">
        <f t="shared" si="15"/>
        <v>0.80822823545000089</v>
      </c>
      <c r="H116" s="443">
        <f t="shared" si="16"/>
        <v>5296.5378485274296</v>
      </c>
      <c r="I116" s="520">
        <v>0.97</v>
      </c>
    </row>
    <row r="117" spans="1:9" ht="15.75" thickTop="1" thickBot="1">
      <c r="A117" s="85"/>
      <c r="B117" s="86"/>
      <c r="C117" s="86"/>
      <c r="D117" s="141"/>
      <c r="E117" s="394" t="s">
        <v>135</v>
      </c>
      <c r="F117" s="395"/>
      <c r="G117" s="396">
        <f>H111+H112+H113+H114+H115+H116</f>
        <v>19143.617078202613</v>
      </c>
      <c r="H117" s="397">
        <f t="shared" ref="H117:H122" si="17">ROUND(G117,15)</f>
        <v>19143.617078202598</v>
      </c>
      <c r="I117" s="522"/>
    </row>
    <row r="118" spans="1:9" ht="15.75" thickBot="1">
      <c r="A118" s="75"/>
      <c r="B118" s="76"/>
      <c r="C118" s="76"/>
      <c r="D118" s="77"/>
      <c r="E118" s="398" t="s">
        <v>39</v>
      </c>
      <c r="F118" s="399"/>
      <c r="G118" s="400">
        <f>H38+H41+H51+H84+H109+H117</f>
        <v>612537.15628792287</v>
      </c>
      <c r="H118" s="401">
        <f t="shared" si="17"/>
        <v>612537.15628792299</v>
      </c>
      <c r="I118" s="672">
        <v>735073.45</v>
      </c>
    </row>
    <row r="119" spans="1:9" ht="15.75" thickTop="1" thickBot="1">
      <c r="A119" s="244" t="s">
        <v>140</v>
      </c>
      <c r="B119" s="245"/>
      <c r="C119" s="245" t="s">
        <v>38</v>
      </c>
      <c r="D119" s="246"/>
      <c r="E119" s="247" t="s">
        <v>141</v>
      </c>
      <c r="F119" s="248"/>
      <c r="G119" s="249">
        <f>G388</f>
        <v>1399037.126337559</v>
      </c>
      <c r="H119" s="250">
        <f t="shared" si="17"/>
        <v>1399037.1263375599</v>
      </c>
      <c r="I119" s="522"/>
    </row>
    <row r="120" spans="1:9" ht="15" thickBot="1">
      <c r="A120" s="251" t="s">
        <v>142</v>
      </c>
      <c r="B120" s="252"/>
      <c r="C120" s="252" t="s">
        <v>38</v>
      </c>
      <c r="D120" s="253"/>
      <c r="E120" s="254" t="s">
        <v>143</v>
      </c>
      <c r="F120" s="255"/>
      <c r="G120" s="256">
        <f>G264</f>
        <v>903955.52314439369</v>
      </c>
      <c r="H120" s="257">
        <f t="shared" si="17"/>
        <v>903955.52314439404</v>
      </c>
      <c r="I120" s="522"/>
    </row>
    <row r="121" spans="1:9" ht="15" thickBot="1">
      <c r="A121" s="258" t="s">
        <v>144</v>
      </c>
      <c r="B121" s="259"/>
      <c r="C121" s="259" t="s">
        <v>38</v>
      </c>
      <c r="D121" s="260"/>
      <c r="E121" s="261" t="s">
        <v>145</v>
      </c>
      <c r="F121" s="262"/>
      <c r="G121" s="263">
        <f>G134</f>
        <v>191500.73488643937</v>
      </c>
      <c r="H121" s="264">
        <f t="shared" si="17"/>
        <v>191500.73488643899</v>
      </c>
      <c r="I121" s="522"/>
    </row>
    <row r="122" spans="1:9" ht="15" thickBot="1">
      <c r="A122" s="265" t="s">
        <v>146</v>
      </c>
      <c r="B122" s="266"/>
      <c r="C122" s="266" t="s">
        <v>38</v>
      </c>
      <c r="D122" s="267"/>
      <c r="E122" s="268" t="s">
        <v>147</v>
      </c>
      <c r="F122" s="269"/>
      <c r="G122" s="270">
        <f>G125</f>
        <v>162961.40932831389</v>
      </c>
      <c r="H122" s="271">
        <f t="shared" si="17"/>
        <v>162961.40932831401</v>
      </c>
      <c r="I122" s="522"/>
    </row>
    <row r="123" spans="1:9" ht="15" customHeight="1" thickTop="1" thickBot="1">
      <c r="A123" s="100" t="s">
        <v>1497</v>
      </c>
      <c r="B123" s="101" t="s">
        <v>148</v>
      </c>
      <c r="C123" s="64" t="s">
        <v>46</v>
      </c>
      <c r="D123" s="64" t="s">
        <v>68</v>
      </c>
      <c r="E123" s="65" t="s">
        <v>1496</v>
      </c>
      <c r="F123" s="446">
        <f>ROUND(1518,15)</f>
        <v>1518</v>
      </c>
      <c r="G123" s="440">
        <f t="shared" ref="G123:G124" si="18">I123*(100%-$I$14)</f>
        <v>78.55645158580009</v>
      </c>
      <c r="H123" s="447">
        <f>ROUND(F123*G123,15)</f>
        <v>119248.693507245</v>
      </c>
      <c r="I123" s="521">
        <v>94.28</v>
      </c>
    </row>
    <row r="124" spans="1:9" ht="15" customHeight="1" thickBot="1">
      <c r="A124" s="102" t="s">
        <v>1498</v>
      </c>
      <c r="B124" s="103" t="s">
        <v>148</v>
      </c>
      <c r="C124" s="66" t="s">
        <v>46</v>
      </c>
      <c r="D124" s="66" t="s">
        <v>68</v>
      </c>
      <c r="E124" s="187" t="s">
        <v>1499</v>
      </c>
      <c r="F124" s="450">
        <f>ROUND(396,15)</f>
        <v>396</v>
      </c>
      <c r="G124" s="440">
        <f t="shared" si="18"/>
        <v>110.38564601280012</v>
      </c>
      <c r="H124" s="451">
        <f>ROUND(F124*G124,15)</f>
        <v>43712.715821068901</v>
      </c>
      <c r="I124" s="521">
        <v>132.47999999999999</v>
      </c>
    </row>
    <row r="125" spans="1:9" ht="15.75" thickTop="1" thickBot="1">
      <c r="A125" s="75"/>
      <c r="B125" s="76"/>
      <c r="C125" s="76"/>
      <c r="D125" s="77"/>
      <c r="E125" s="411" t="s">
        <v>146</v>
      </c>
      <c r="F125" s="412"/>
      <c r="G125" s="413">
        <f>H123+H124</f>
        <v>162961.40932831389</v>
      </c>
      <c r="H125" s="414">
        <f>ROUND(G125,15)</f>
        <v>162961.40932831401</v>
      </c>
      <c r="I125" s="522"/>
    </row>
    <row r="126" spans="1:9" ht="15.75" thickTop="1" thickBot="1">
      <c r="A126" s="272" t="s">
        <v>149</v>
      </c>
      <c r="B126" s="273"/>
      <c r="C126" s="273" t="s">
        <v>38</v>
      </c>
      <c r="D126" s="274"/>
      <c r="E126" s="275" t="s">
        <v>150</v>
      </c>
      <c r="F126" s="276"/>
      <c r="G126" s="277">
        <f>G129</f>
        <v>27153.73073381935</v>
      </c>
      <c r="H126" s="278">
        <f>ROUND(G126,15)</f>
        <v>27153.730733819299</v>
      </c>
      <c r="I126" s="522"/>
    </row>
    <row r="127" spans="1:9" ht="26.1" customHeight="1" thickTop="1" thickBot="1">
      <c r="A127" s="90">
        <v>95583</v>
      </c>
      <c r="B127" s="91" t="s">
        <v>45</v>
      </c>
      <c r="C127" s="54" t="s">
        <v>46</v>
      </c>
      <c r="D127" s="54" t="s">
        <v>151</v>
      </c>
      <c r="E127" s="55" t="s">
        <v>152</v>
      </c>
      <c r="F127" s="436">
        <f>ROUND(426.4,15)</f>
        <v>426.4</v>
      </c>
      <c r="G127" s="437">
        <f t="shared" ref="G127:G128" si="19">I127*(100%-$I$14)</f>
        <v>12.715013271100014</v>
      </c>
      <c r="H127" s="438">
        <f>ROUND(F127*G127,15)</f>
        <v>5421.6816587970497</v>
      </c>
      <c r="I127" s="520">
        <v>15.26</v>
      </c>
    </row>
    <row r="128" spans="1:9" ht="26.1" customHeight="1" thickBot="1">
      <c r="A128" s="96">
        <v>95578</v>
      </c>
      <c r="B128" s="97" t="s">
        <v>45</v>
      </c>
      <c r="C128" s="60" t="s">
        <v>46</v>
      </c>
      <c r="D128" s="60" t="s">
        <v>151</v>
      </c>
      <c r="E128" s="61" t="s">
        <v>153</v>
      </c>
      <c r="F128" s="442">
        <f>ROUND(2804.5,15)</f>
        <v>2804.5</v>
      </c>
      <c r="G128" s="437">
        <f t="shared" si="19"/>
        <v>7.7489923605000097</v>
      </c>
      <c r="H128" s="443">
        <f>ROUND(F128*G128,15)</f>
        <v>21732.0490750223</v>
      </c>
      <c r="I128" s="520">
        <v>9.3000000000000007</v>
      </c>
    </row>
    <row r="129" spans="1:9" ht="15.75" thickTop="1" thickBot="1">
      <c r="A129" s="75"/>
      <c r="B129" s="76"/>
      <c r="C129" s="76"/>
      <c r="D129" s="77"/>
      <c r="E129" s="411" t="s">
        <v>149</v>
      </c>
      <c r="F129" s="412"/>
      <c r="G129" s="413">
        <f>H127+H128</f>
        <v>27153.73073381935</v>
      </c>
      <c r="H129" s="414">
        <f>ROUND(G129,15)</f>
        <v>27153.730733819299</v>
      </c>
      <c r="I129" s="522"/>
    </row>
    <row r="130" spans="1:9" ht="15.75" thickTop="1" thickBot="1">
      <c r="A130" s="272" t="s">
        <v>154</v>
      </c>
      <c r="B130" s="273"/>
      <c r="C130" s="273" t="s">
        <v>38</v>
      </c>
      <c r="D130" s="274"/>
      <c r="E130" s="275" t="s">
        <v>155</v>
      </c>
      <c r="F130" s="276"/>
      <c r="G130" s="277">
        <f>G133</f>
        <v>1385.59482430605</v>
      </c>
      <c r="H130" s="278">
        <f>ROUND(G130,15)</f>
        <v>1385.59482430605</v>
      </c>
      <c r="I130" s="522"/>
    </row>
    <row r="131" spans="1:9" ht="26.1" customHeight="1" thickTop="1" thickBot="1">
      <c r="A131" s="90">
        <v>95601</v>
      </c>
      <c r="B131" s="91" t="s">
        <v>45</v>
      </c>
      <c r="C131" s="54" t="s">
        <v>46</v>
      </c>
      <c r="D131" s="54" t="s">
        <v>47</v>
      </c>
      <c r="E131" s="55" t="s">
        <v>156</v>
      </c>
      <c r="F131" s="436">
        <f>ROUND(69,15)</f>
        <v>69</v>
      </c>
      <c r="G131" s="437">
        <f t="shared" ref="G131:G132" si="20">I131*(100%-$I$14)</f>
        <v>15.073039978650018</v>
      </c>
      <c r="H131" s="438">
        <f>ROUND(F131*G131,15)</f>
        <v>1040.0397585268499</v>
      </c>
      <c r="I131" s="520">
        <v>18.09</v>
      </c>
    </row>
    <row r="132" spans="1:9" ht="26.1" customHeight="1" thickBot="1">
      <c r="A132" s="96">
        <v>95602</v>
      </c>
      <c r="B132" s="97" t="s">
        <v>45</v>
      </c>
      <c r="C132" s="60" t="s">
        <v>46</v>
      </c>
      <c r="D132" s="60" t="s">
        <v>47</v>
      </c>
      <c r="E132" s="61" t="s">
        <v>157</v>
      </c>
      <c r="F132" s="442">
        <f>ROUND(18,15)</f>
        <v>18</v>
      </c>
      <c r="G132" s="437">
        <f t="shared" si="20"/>
        <v>19.197503654400023</v>
      </c>
      <c r="H132" s="443">
        <f>ROUND(F132*G132,15)</f>
        <v>345.55506577919999</v>
      </c>
      <c r="I132" s="520">
        <v>23.04</v>
      </c>
    </row>
    <row r="133" spans="1:9" ht="15.75" thickTop="1" thickBot="1">
      <c r="A133" s="85"/>
      <c r="B133" s="86"/>
      <c r="C133" s="86"/>
      <c r="D133" s="141"/>
      <c r="E133" s="394" t="s">
        <v>154</v>
      </c>
      <c r="F133" s="395"/>
      <c r="G133" s="396">
        <f>H131+H132</f>
        <v>1385.59482430605</v>
      </c>
      <c r="H133" s="397">
        <f>ROUND(G133,15)</f>
        <v>1385.59482430605</v>
      </c>
      <c r="I133" s="522"/>
    </row>
    <row r="134" spans="1:9" ht="15" thickBot="1">
      <c r="A134" s="114"/>
      <c r="B134" s="115"/>
      <c r="C134" s="115"/>
      <c r="D134" s="142"/>
      <c r="E134" s="398" t="s">
        <v>144</v>
      </c>
      <c r="F134" s="399"/>
      <c r="G134" s="400">
        <f>H125+H129+H133</f>
        <v>191500.73488643937</v>
      </c>
      <c r="H134" s="401">
        <f>ROUND(G134,15)</f>
        <v>191500.73488643899</v>
      </c>
      <c r="I134" s="522"/>
    </row>
    <row r="135" spans="1:9" ht="15.75" thickTop="1" thickBot="1">
      <c r="A135" s="279" t="s">
        <v>158</v>
      </c>
      <c r="B135" s="280"/>
      <c r="C135" s="280" t="s">
        <v>38</v>
      </c>
      <c r="D135" s="281"/>
      <c r="E135" s="282" t="s">
        <v>159</v>
      </c>
      <c r="F135" s="283"/>
      <c r="G135" s="284">
        <f>G156</f>
        <v>48710.782231301797</v>
      </c>
      <c r="H135" s="285">
        <f>ROUND(G135,15)</f>
        <v>48710.782231301797</v>
      </c>
      <c r="I135" s="522"/>
    </row>
    <row r="136" spans="1:9" ht="15" thickBot="1">
      <c r="A136" s="265" t="s">
        <v>160</v>
      </c>
      <c r="B136" s="266"/>
      <c r="C136" s="266" t="s">
        <v>38</v>
      </c>
      <c r="D136" s="267"/>
      <c r="E136" s="268" t="s">
        <v>161</v>
      </c>
      <c r="F136" s="269"/>
      <c r="G136" s="270">
        <f>G141</f>
        <v>4563.6780625481206</v>
      </c>
      <c r="H136" s="271">
        <f>ROUND(G136,15)</f>
        <v>4563.6780625481197</v>
      </c>
      <c r="I136" s="522"/>
    </row>
    <row r="137" spans="1:9" ht="26.1" customHeight="1" thickTop="1" thickBot="1">
      <c r="A137" s="90">
        <v>96521</v>
      </c>
      <c r="B137" s="91" t="s">
        <v>45</v>
      </c>
      <c r="C137" s="54" t="s">
        <v>46</v>
      </c>
      <c r="D137" s="54" t="s">
        <v>76</v>
      </c>
      <c r="E137" s="55" t="s">
        <v>162</v>
      </c>
      <c r="F137" s="436">
        <f>ROUND(60.13,15)</f>
        <v>60.13</v>
      </c>
      <c r="G137" s="437">
        <f t="shared" ref="G137:G140" si="21">I137*(100%-$I$14)</f>
        <v>25.288378294750032</v>
      </c>
      <c r="H137" s="438">
        <f>ROUND(F137*G137,15)</f>
        <v>1520.59018686332</v>
      </c>
      <c r="I137" s="520">
        <v>30.35</v>
      </c>
    </row>
    <row r="138" spans="1:9" ht="26.1" customHeight="1" thickBot="1">
      <c r="A138" s="92">
        <v>96619</v>
      </c>
      <c r="B138" s="93" t="s">
        <v>45</v>
      </c>
      <c r="C138" s="58" t="s">
        <v>46</v>
      </c>
      <c r="D138" s="58" t="s">
        <v>49</v>
      </c>
      <c r="E138" s="59" t="s">
        <v>1361</v>
      </c>
      <c r="F138" s="437">
        <f>ROUND(67.15,15)</f>
        <v>67.150000000000006</v>
      </c>
      <c r="G138" s="437">
        <f t="shared" si="21"/>
        <v>22.005471853850025</v>
      </c>
      <c r="H138" s="439">
        <f>ROUND(F138*G138,15)</f>
        <v>1477.66743498603</v>
      </c>
      <c r="I138" s="520">
        <v>26.41</v>
      </c>
    </row>
    <row r="139" spans="1:9" ht="15" thickBot="1">
      <c r="A139" s="94" t="s">
        <v>164</v>
      </c>
      <c r="B139" s="95" t="s">
        <v>57</v>
      </c>
      <c r="C139" s="74" t="s">
        <v>46</v>
      </c>
      <c r="D139" s="74" t="s">
        <v>76</v>
      </c>
      <c r="E139" s="78" t="s">
        <v>165</v>
      </c>
      <c r="F139" s="440">
        <f>ROUND(9.92,15)</f>
        <v>9.92</v>
      </c>
      <c r="G139" s="440">
        <f t="shared" si="21"/>
        <v>137.51545152440016</v>
      </c>
      <c r="H139" s="441">
        <f>ROUND(F139*G139,15)</f>
        <v>1364.15327912205</v>
      </c>
      <c r="I139" s="520">
        <v>165.04</v>
      </c>
    </row>
    <row r="140" spans="1:9" ht="15" thickBot="1">
      <c r="A140" s="102">
        <v>93382</v>
      </c>
      <c r="B140" s="103" t="s">
        <v>45</v>
      </c>
      <c r="C140" s="66" t="s">
        <v>46</v>
      </c>
      <c r="D140" s="66" t="s">
        <v>76</v>
      </c>
      <c r="E140" s="67" t="s">
        <v>166</v>
      </c>
      <c r="F140" s="450">
        <f>ROUND(9.92,15)</f>
        <v>9.92</v>
      </c>
      <c r="G140" s="440">
        <f t="shared" si="21"/>
        <v>20.289028384750026</v>
      </c>
      <c r="H140" s="451">
        <f>ROUND(F140*G140,15)</f>
        <v>201.26716157672001</v>
      </c>
      <c r="I140" s="520">
        <v>24.35</v>
      </c>
    </row>
    <row r="141" spans="1:9" ht="15.75" thickTop="1" thickBot="1">
      <c r="A141" s="75"/>
      <c r="B141" s="76"/>
      <c r="C141" s="76"/>
      <c r="D141" s="77"/>
      <c r="E141" s="411" t="s">
        <v>160</v>
      </c>
      <c r="F141" s="412"/>
      <c r="G141" s="413">
        <f>H137+H138+H139+H140</f>
        <v>4563.6780625481206</v>
      </c>
      <c r="H141" s="414">
        <f>ROUND(G141,15)</f>
        <v>4563.6780625481197</v>
      </c>
      <c r="I141" s="522"/>
    </row>
    <row r="142" spans="1:9" ht="15.75" thickTop="1" thickBot="1">
      <c r="A142" s="272" t="s">
        <v>167</v>
      </c>
      <c r="B142" s="273"/>
      <c r="C142" s="273" t="s">
        <v>38</v>
      </c>
      <c r="D142" s="274"/>
      <c r="E142" s="275" t="s">
        <v>168</v>
      </c>
      <c r="F142" s="276"/>
      <c r="G142" s="277">
        <f>G144</f>
        <v>9170.1038164041802</v>
      </c>
      <c r="H142" s="278">
        <f>ROUND(G142,15)</f>
        <v>9170.1038164041802</v>
      </c>
      <c r="I142" s="522"/>
    </row>
    <row r="143" spans="1:9" ht="26.1" customHeight="1" thickTop="1" thickBot="1">
      <c r="A143" s="98">
        <v>96534</v>
      </c>
      <c r="B143" s="99" t="s">
        <v>45</v>
      </c>
      <c r="C143" s="70" t="s">
        <v>46</v>
      </c>
      <c r="D143" s="70" t="s">
        <v>49</v>
      </c>
      <c r="E143" s="71" t="s">
        <v>1362</v>
      </c>
      <c r="F143" s="444">
        <f>ROUND(157.11,15)</f>
        <v>157.11000000000001</v>
      </c>
      <c r="G143" s="437">
        <f t="shared" ref="G143" si="22">I143*(100%-$I$14)</f>
        <v>58.367410199250067</v>
      </c>
      <c r="H143" s="445">
        <f>ROUND(F143*G143,15)</f>
        <v>9170.1038164041802</v>
      </c>
      <c r="I143" s="520">
        <v>70.05</v>
      </c>
    </row>
    <row r="144" spans="1:9" ht="15.75" thickTop="1" thickBot="1">
      <c r="A144" s="75"/>
      <c r="B144" s="76"/>
      <c r="C144" s="76"/>
      <c r="D144" s="77"/>
      <c r="E144" s="411" t="s">
        <v>167</v>
      </c>
      <c r="F144" s="412"/>
      <c r="G144" s="413">
        <f>H143</f>
        <v>9170.1038164041802</v>
      </c>
      <c r="H144" s="414">
        <f>ROUND(G144,15)</f>
        <v>9170.1038164041802</v>
      </c>
      <c r="I144" s="522"/>
    </row>
    <row r="145" spans="1:9" ht="15.75" thickTop="1" thickBot="1">
      <c r="A145" s="272" t="s">
        <v>169</v>
      </c>
      <c r="B145" s="273"/>
      <c r="C145" s="273" t="s">
        <v>38</v>
      </c>
      <c r="D145" s="274"/>
      <c r="E145" s="275" t="s">
        <v>150</v>
      </c>
      <c r="F145" s="276"/>
      <c r="G145" s="277">
        <f>G152</f>
        <v>22026.456625097242</v>
      </c>
      <c r="H145" s="278">
        <f>ROUND(G145,15)</f>
        <v>22026.456625097198</v>
      </c>
      <c r="I145" s="520"/>
    </row>
    <row r="146" spans="1:9" ht="26.1" customHeight="1" thickTop="1" thickBot="1">
      <c r="A146" s="90">
        <v>96543</v>
      </c>
      <c r="B146" s="91" t="s">
        <v>45</v>
      </c>
      <c r="C146" s="54" t="s">
        <v>46</v>
      </c>
      <c r="D146" s="54" t="s">
        <v>151</v>
      </c>
      <c r="E146" s="55" t="s">
        <v>1363</v>
      </c>
      <c r="F146" s="436">
        <f>ROUND(121.9,15)</f>
        <v>121.9</v>
      </c>
      <c r="G146" s="437">
        <f t="shared" ref="G146:G151" si="23">I146*(100%-$I$14)</f>
        <v>13.389925508950016</v>
      </c>
      <c r="H146" s="438">
        <f t="shared" ref="H146:H151" si="24">ROUND(F146*G146,15)</f>
        <v>1632.23191954101</v>
      </c>
      <c r="I146" s="520">
        <v>16.07</v>
      </c>
    </row>
    <row r="147" spans="1:9" ht="26.1" customHeight="1" thickBot="1">
      <c r="A147" s="92">
        <v>96544</v>
      </c>
      <c r="B147" s="93" t="s">
        <v>45</v>
      </c>
      <c r="C147" s="58" t="s">
        <v>46</v>
      </c>
      <c r="D147" s="58" t="s">
        <v>151</v>
      </c>
      <c r="E147" s="59" t="s">
        <v>1364</v>
      </c>
      <c r="F147" s="437">
        <f>ROUND(309.6,15)</f>
        <v>309.60000000000002</v>
      </c>
      <c r="G147" s="437">
        <f t="shared" si="23"/>
        <v>12.248407279500015</v>
      </c>
      <c r="H147" s="439">
        <f t="shared" si="24"/>
        <v>3792.1068937332002</v>
      </c>
      <c r="I147" s="520">
        <v>14.7</v>
      </c>
    </row>
    <row r="148" spans="1:9" ht="26.1" customHeight="1" thickBot="1">
      <c r="A148" s="92">
        <v>96545</v>
      </c>
      <c r="B148" s="93" t="s">
        <v>45</v>
      </c>
      <c r="C148" s="58" t="s">
        <v>46</v>
      </c>
      <c r="D148" s="58" t="s">
        <v>151</v>
      </c>
      <c r="E148" s="59" t="s">
        <v>1365</v>
      </c>
      <c r="F148" s="437">
        <f>ROUND(237.5,15)</f>
        <v>237.5</v>
      </c>
      <c r="G148" s="437">
        <f t="shared" si="23"/>
        <v>11.215208298100015</v>
      </c>
      <c r="H148" s="439">
        <f t="shared" si="24"/>
        <v>2663.61197079875</v>
      </c>
      <c r="I148" s="520">
        <v>13.46</v>
      </c>
    </row>
    <row r="149" spans="1:9" ht="26.1" customHeight="1" thickBot="1">
      <c r="A149" s="92">
        <v>96546</v>
      </c>
      <c r="B149" s="93" t="s">
        <v>45</v>
      </c>
      <c r="C149" s="58" t="s">
        <v>46</v>
      </c>
      <c r="D149" s="58" t="s">
        <v>151</v>
      </c>
      <c r="E149" s="59" t="s">
        <v>1366</v>
      </c>
      <c r="F149" s="437">
        <f>ROUND(220.8,15)</f>
        <v>220.8</v>
      </c>
      <c r="G149" s="437">
        <f t="shared" si="23"/>
        <v>9.8903805719500113</v>
      </c>
      <c r="H149" s="439">
        <f t="shared" si="24"/>
        <v>2183.7960302865599</v>
      </c>
      <c r="I149" s="520">
        <v>11.87</v>
      </c>
    </row>
    <row r="150" spans="1:9" ht="26.1" customHeight="1" thickBot="1">
      <c r="A150" s="92">
        <v>96547</v>
      </c>
      <c r="B150" s="93" t="s">
        <v>45</v>
      </c>
      <c r="C150" s="58" t="s">
        <v>46</v>
      </c>
      <c r="D150" s="58" t="s">
        <v>151</v>
      </c>
      <c r="E150" s="59" t="s">
        <v>1367</v>
      </c>
      <c r="F150" s="437">
        <f>ROUND(418.3,15)</f>
        <v>418.3</v>
      </c>
      <c r="G150" s="437">
        <f t="shared" si="23"/>
        <v>8.2989208506000107</v>
      </c>
      <c r="H150" s="439">
        <f t="shared" si="24"/>
        <v>3471.4385918059802</v>
      </c>
      <c r="I150" s="520">
        <v>9.9600000000000009</v>
      </c>
    </row>
    <row r="151" spans="1:9" ht="26.1" customHeight="1" thickBot="1">
      <c r="A151" s="96">
        <v>96548</v>
      </c>
      <c r="B151" s="97" t="s">
        <v>45</v>
      </c>
      <c r="C151" s="60" t="s">
        <v>46</v>
      </c>
      <c r="D151" s="60" t="s">
        <v>151</v>
      </c>
      <c r="E151" s="61" t="s">
        <v>1368</v>
      </c>
      <c r="F151" s="442">
        <f>ROUND(1067.8,15)</f>
        <v>1067.8</v>
      </c>
      <c r="G151" s="437">
        <f t="shared" si="23"/>
        <v>7.7573246103500093</v>
      </c>
      <c r="H151" s="443">
        <f t="shared" si="24"/>
        <v>8283.2712189317408</v>
      </c>
      <c r="I151" s="520">
        <v>9.31</v>
      </c>
    </row>
    <row r="152" spans="1:9" ht="15.75" thickTop="1" thickBot="1">
      <c r="A152" s="75"/>
      <c r="B152" s="76"/>
      <c r="C152" s="76"/>
      <c r="D152" s="77"/>
      <c r="E152" s="411" t="s">
        <v>169</v>
      </c>
      <c r="F152" s="412"/>
      <c r="G152" s="413">
        <f>H146+H147+H148+H149+H150+H151</f>
        <v>22026.456625097242</v>
      </c>
      <c r="H152" s="414">
        <f>ROUND(G152,15)</f>
        <v>22026.456625097198</v>
      </c>
      <c r="I152" s="520"/>
    </row>
    <row r="153" spans="1:9" ht="15.75" thickTop="1" thickBot="1">
      <c r="A153" s="272" t="s">
        <v>176</v>
      </c>
      <c r="B153" s="273"/>
      <c r="C153" s="273" t="s">
        <v>38</v>
      </c>
      <c r="D153" s="274"/>
      <c r="E153" s="275" t="s">
        <v>177</v>
      </c>
      <c r="F153" s="276"/>
      <c r="G153" s="277">
        <f>G155</f>
        <v>12950.5437272524</v>
      </c>
      <c r="H153" s="278">
        <f>ROUND(G153,15)</f>
        <v>12950.5437272523</v>
      </c>
      <c r="I153" s="520"/>
    </row>
    <row r="154" spans="1:9" ht="26.1" customHeight="1" thickTop="1" thickBot="1">
      <c r="A154" s="98" t="s">
        <v>178</v>
      </c>
      <c r="B154" s="99" t="s">
        <v>148</v>
      </c>
      <c r="C154" s="70" t="s">
        <v>46</v>
      </c>
      <c r="D154" s="70" t="s">
        <v>76</v>
      </c>
      <c r="E154" s="71" t="s">
        <v>179</v>
      </c>
      <c r="F154" s="444">
        <f>ROUND(40.29,15)</f>
        <v>40.29</v>
      </c>
      <c r="G154" s="437">
        <f t="shared" ref="G154" si="25">I154*(100%-$I$14)</f>
        <v>321.43320246345036</v>
      </c>
      <c r="H154" s="445">
        <f>ROUND(F154*G154,15)</f>
        <v>12950.5437272524</v>
      </c>
      <c r="I154" s="520">
        <v>385.77</v>
      </c>
    </row>
    <row r="155" spans="1:9" ht="15.75" thickTop="1" thickBot="1">
      <c r="A155" s="35"/>
      <c r="B155" s="36"/>
      <c r="C155" s="36"/>
      <c r="D155" s="37"/>
      <c r="E155" s="394" t="s">
        <v>176</v>
      </c>
      <c r="F155" s="395"/>
      <c r="G155" s="396">
        <f>H154</f>
        <v>12950.5437272524</v>
      </c>
      <c r="H155" s="397">
        <f>ROUND(G155,15)</f>
        <v>12950.5437272523</v>
      </c>
      <c r="I155" s="520"/>
    </row>
    <row r="156" spans="1:9" ht="15" thickBot="1">
      <c r="A156" s="75"/>
      <c r="B156" s="76"/>
      <c r="C156" s="76"/>
      <c r="D156" s="77"/>
      <c r="E156" s="398" t="s">
        <v>158</v>
      </c>
      <c r="F156" s="399"/>
      <c r="G156" s="400">
        <f>H141+H144+H152+H155</f>
        <v>48710.782231301797</v>
      </c>
      <c r="H156" s="401">
        <f>ROUND(G156,15)</f>
        <v>48710.782231301797</v>
      </c>
      <c r="I156" s="520"/>
    </row>
    <row r="157" spans="1:9" ht="15.75" thickTop="1" thickBot="1">
      <c r="A157" s="279" t="s">
        <v>180</v>
      </c>
      <c r="B157" s="280"/>
      <c r="C157" s="280" t="s">
        <v>38</v>
      </c>
      <c r="D157" s="281"/>
      <c r="E157" s="282" t="s">
        <v>181</v>
      </c>
      <c r="F157" s="283"/>
      <c r="G157" s="284">
        <f>G256</f>
        <v>514501.16280587274</v>
      </c>
      <c r="H157" s="285">
        <f>ROUND(G157,15)</f>
        <v>514501.16280587303</v>
      </c>
      <c r="I157" s="520"/>
    </row>
    <row r="158" spans="1:9" ht="15" thickBot="1">
      <c r="A158" s="265" t="s">
        <v>182</v>
      </c>
      <c r="B158" s="266"/>
      <c r="C158" s="266" t="s">
        <v>38</v>
      </c>
      <c r="D158" s="267"/>
      <c r="E158" s="268" t="s">
        <v>183</v>
      </c>
      <c r="F158" s="269"/>
      <c r="G158" s="270">
        <f>G166</f>
        <v>48474.83374617454</v>
      </c>
      <c r="H158" s="271">
        <f>ROUND(G158,15)</f>
        <v>48474.833746174503</v>
      </c>
      <c r="I158" s="520"/>
    </row>
    <row r="159" spans="1:9" ht="36" customHeight="1" thickTop="1" thickBot="1">
      <c r="A159" s="90">
        <v>92443</v>
      </c>
      <c r="B159" s="91" t="s">
        <v>45</v>
      </c>
      <c r="C159" s="54" t="s">
        <v>46</v>
      </c>
      <c r="D159" s="54" t="s">
        <v>49</v>
      </c>
      <c r="E159" s="55" t="s">
        <v>1369</v>
      </c>
      <c r="F159" s="436">
        <f>ROUND(422.94,15)</f>
        <v>422.94</v>
      </c>
      <c r="G159" s="437">
        <f t="shared" ref="G159:G165" si="26">I159*(100%-$I$14)</f>
        <v>27.571414753650036</v>
      </c>
      <c r="H159" s="438">
        <f t="shared" ref="H159:H165" si="27">ROUND(F159*G159,15)</f>
        <v>11661.0541559087</v>
      </c>
      <c r="I159" s="520">
        <v>33.090000000000003</v>
      </c>
    </row>
    <row r="160" spans="1:9" ht="26.1" customHeight="1" thickBot="1">
      <c r="A160" s="92">
        <v>92722</v>
      </c>
      <c r="B160" s="93" t="s">
        <v>45</v>
      </c>
      <c r="C160" s="58" t="s">
        <v>46</v>
      </c>
      <c r="D160" s="58" t="s">
        <v>76</v>
      </c>
      <c r="E160" s="59" t="s">
        <v>185</v>
      </c>
      <c r="F160" s="437">
        <f>ROUND(25,15)</f>
        <v>25</v>
      </c>
      <c r="G160" s="437">
        <f t="shared" si="26"/>
        <v>315.69228231680034</v>
      </c>
      <c r="H160" s="439">
        <f t="shared" si="27"/>
        <v>7892.3070579200103</v>
      </c>
      <c r="I160" s="520">
        <v>378.88</v>
      </c>
    </row>
    <row r="161" spans="1:9" ht="26.1" customHeight="1" thickBot="1">
      <c r="A161" s="92">
        <v>92761</v>
      </c>
      <c r="B161" s="93" t="s">
        <v>45</v>
      </c>
      <c r="C161" s="58" t="s">
        <v>46</v>
      </c>
      <c r="D161" s="58" t="s">
        <v>151</v>
      </c>
      <c r="E161" s="59" t="s">
        <v>186</v>
      </c>
      <c r="F161" s="437">
        <f>ROUND(27.7,15)</f>
        <v>27.7</v>
      </c>
      <c r="G161" s="437">
        <f t="shared" si="26"/>
        <v>9.9653708206000129</v>
      </c>
      <c r="H161" s="439">
        <f t="shared" si="27"/>
        <v>276.04077173062001</v>
      </c>
      <c r="I161" s="520">
        <v>11.96</v>
      </c>
    </row>
    <row r="162" spans="1:9" ht="26.1" customHeight="1" thickBot="1">
      <c r="A162" s="92">
        <v>92762</v>
      </c>
      <c r="B162" s="93" t="s">
        <v>45</v>
      </c>
      <c r="C162" s="58" t="s">
        <v>46</v>
      </c>
      <c r="D162" s="58" t="s">
        <v>151</v>
      </c>
      <c r="E162" s="59" t="s">
        <v>187</v>
      </c>
      <c r="F162" s="437">
        <f>ROUND(478.6,15)</f>
        <v>478.6</v>
      </c>
      <c r="G162" s="437">
        <f t="shared" si="26"/>
        <v>8.9071750896500106</v>
      </c>
      <c r="H162" s="439">
        <f t="shared" si="27"/>
        <v>4262.9739979064998</v>
      </c>
      <c r="I162" s="520">
        <v>10.69</v>
      </c>
    </row>
    <row r="163" spans="1:9" ht="26.1" customHeight="1" thickBot="1">
      <c r="A163" s="92">
        <v>92763</v>
      </c>
      <c r="B163" s="93" t="s">
        <v>45</v>
      </c>
      <c r="C163" s="58" t="s">
        <v>46</v>
      </c>
      <c r="D163" s="58" t="s">
        <v>151</v>
      </c>
      <c r="E163" s="59" t="s">
        <v>188</v>
      </c>
      <c r="F163" s="437">
        <f>ROUND(1214.2,15)</f>
        <v>1214.2</v>
      </c>
      <c r="G163" s="437">
        <f t="shared" si="26"/>
        <v>7.5073571148500085</v>
      </c>
      <c r="H163" s="439">
        <f t="shared" si="27"/>
        <v>9115.4330088508796</v>
      </c>
      <c r="I163" s="520">
        <v>9.01</v>
      </c>
    </row>
    <row r="164" spans="1:9" ht="26.1" customHeight="1" thickBot="1">
      <c r="A164" s="92">
        <v>92764</v>
      </c>
      <c r="B164" s="93" t="s">
        <v>45</v>
      </c>
      <c r="C164" s="58" t="s">
        <v>46</v>
      </c>
      <c r="D164" s="58" t="s">
        <v>151</v>
      </c>
      <c r="E164" s="59" t="s">
        <v>189</v>
      </c>
      <c r="F164" s="437">
        <f>ROUND(1037.1,15)</f>
        <v>1037.0999999999999</v>
      </c>
      <c r="G164" s="437">
        <f t="shared" si="26"/>
        <v>7.140738121450009</v>
      </c>
      <c r="H164" s="439">
        <f t="shared" si="27"/>
        <v>7405.6595057557997</v>
      </c>
      <c r="I164" s="520">
        <v>8.57</v>
      </c>
    </row>
    <row r="165" spans="1:9" ht="26.1" customHeight="1" thickBot="1">
      <c r="A165" s="96">
        <v>92759</v>
      </c>
      <c r="B165" s="97" t="s">
        <v>45</v>
      </c>
      <c r="C165" s="60" t="s">
        <v>46</v>
      </c>
      <c r="D165" s="60" t="s">
        <v>151</v>
      </c>
      <c r="E165" s="61" t="s">
        <v>190</v>
      </c>
      <c r="F165" s="442">
        <f>ROUND(696.3,15)</f>
        <v>696.3</v>
      </c>
      <c r="G165" s="437">
        <f t="shared" si="26"/>
        <v>11.290198546750014</v>
      </c>
      <c r="H165" s="443">
        <f t="shared" si="27"/>
        <v>7861.3652481020299</v>
      </c>
      <c r="I165" s="520">
        <v>13.55</v>
      </c>
    </row>
    <row r="166" spans="1:9" ht="15.75" thickTop="1" thickBot="1">
      <c r="A166" s="75"/>
      <c r="B166" s="76"/>
      <c r="C166" s="76"/>
      <c r="D166" s="77"/>
      <c r="E166" s="411" t="s">
        <v>182</v>
      </c>
      <c r="F166" s="412"/>
      <c r="G166" s="413">
        <f>H159+H160+H161+H162+H163+H164+H165</f>
        <v>48474.83374617454</v>
      </c>
      <c r="H166" s="414">
        <f>ROUND(G166,15)</f>
        <v>48474.833746174503</v>
      </c>
      <c r="I166" s="520"/>
    </row>
    <row r="167" spans="1:9" ht="15.75" thickTop="1" thickBot="1">
      <c r="A167" s="272" t="s">
        <v>191</v>
      </c>
      <c r="B167" s="273"/>
      <c r="C167" s="273" t="s">
        <v>38</v>
      </c>
      <c r="D167" s="274"/>
      <c r="E167" s="275" t="s">
        <v>192</v>
      </c>
      <c r="F167" s="276"/>
      <c r="G167" s="277">
        <f>G179</f>
        <v>73485.3633376215</v>
      </c>
      <c r="H167" s="278">
        <f>ROUND(G167,15)</f>
        <v>73485.3633376215</v>
      </c>
      <c r="I167" s="520"/>
    </row>
    <row r="168" spans="1:9" ht="26.1" customHeight="1" thickTop="1" thickBot="1">
      <c r="A168" s="90">
        <v>96525</v>
      </c>
      <c r="B168" s="91" t="s">
        <v>45</v>
      </c>
      <c r="C168" s="54" t="s">
        <v>46</v>
      </c>
      <c r="D168" s="54" t="s">
        <v>76</v>
      </c>
      <c r="E168" s="55" t="s">
        <v>193</v>
      </c>
      <c r="F168" s="436">
        <f>ROUND(24.28,15)</f>
        <v>24.28</v>
      </c>
      <c r="G168" s="437">
        <f t="shared" ref="G168:G178" si="28">I168*(100%-$I$14)</f>
        <v>22.813700089300024</v>
      </c>
      <c r="H168" s="438">
        <f t="shared" ref="H168:H178" si="29">ROUND(F168*G168,15)</f>
        <v>553.91663816820505</v>
      </c>
      <c r="I168" s="520">
        <v>27.38</v>
      </c>
    </row>
    <row r="169" spans="1:9" ht="15" thickBot="1">
      <c r="A169" s="94">
        <v>93382</v>
      </c>
      <c r="B169" s="95" t="s">
        <v>45</v>
      </c>
      <c r="C169" s="74" t="s">
        <v>46</v>
      </c>
      <c r="D169" s="74" t="s">
        <v>76</v>
      </c>
      <c r="E169" s="78" t="s">
        <v>166</v>
      </c>
      <c r="F169" s="440">
        <f>ROUND(17.45,15)</f>
        <v>17.45</v>
      </c>
      <c r="G169" s="437">
        <f t="shared" si="28"/>
        <v>20.289028384750026</v>
      </c>
      <c r="H169" s="441">
        <f t="shared" si="29"/>
        <v>354.04354531388799</v>
      </c>
      <c r="I169" s="520">
        <v>24.35</v>
      </c>
    </row>
    <row r="170" spans="1:9" ht="15" thickBot="1">
      <c r="A170" s="94" t="s">
        <v>164</v>
      </c>
      <c r="B170" s="95" t="s">
        <v>57</v>
      </c>
      <c r="C170" s="74" t="s">
        <v>46</v>
      </c>
      <c r="D170" s="74" t="s">
        <v>76</v>
      </c>
      <c r="E170" s="78" t="s">
        <v>165</v>
      </c>
      <c r="F170" s="440">
        <f>ROUND(17.45,15)</f>
        <v>17.45</v>
      </c>
      <c r="G170" s="437">
        <f t="shared" si="28"/>
        <v>137.51545152440016</v>
      </c>
      <c r="H170" s="441">
        <f t="shared" si="29"/>
        <v>2399.6446291007801</v>
      </c>
      <c r="I170" s="520">
        <v>165.04</v>
      </c>
    </row>
    <row r="171" spans="1:9" ht="26.1" customHeight="1" thickBot="1">
      <c r="A171" s="92">
        <v>96536</v>
      </c>
      <c r="B171" s="93" t="s">
        <v>45</v>
      </c>
      <c r="C171" s="58" t="s">
        <v>46</v>
      </c>
      <c r="D171" s="58" t="s">
        <v>49</v>
      </c>
      <c r="E171" s="59" t="s">
        <v>194</v>
      </c>
      <c r="F171" s="437">
        <f>ROUND(349.08,15)</f>
        <v>349.08</v>
      </c>
      <c r="G171" s="437">
        <f t="shared" si="28"/>
        <v>49.893512101800063</v>
      </c>
      <c r="H171" s="439">
        <f t="shared" si="29"/>
        <v>17416.827204496301</v>
      </c>
      <c r="I171" s="520">
        <v>59.88</v>
      </c>
    </row>
    <row r="172" spans="1:9" ht="26.1" customHeight="1" thickBot="1">
      <c r="A172" s="92" t="s">
        <v>178</v>
      </c>
      <c r="B172" s="93" t="s">
        <v>148</v>
      </c>
      <c r="C172" s="58" t="s">
        <v>46</v>
      </c>
      <c r="D172" s="58" t="s">
        <v>76</v>
      </c>
      <c r="E172" s="59" t="s">
        <v>179</v>
      </c>
      <c r="F172" s="437">
        <f>ROUND(48.55,15)</f>
        <v>48.55</v>
      </c>
      <c r="G172" s="437">
        <f t="shared" si="28"/>
        <v>321.43320246345036</v>
      </c>
      <c r="H172" s="439">
        <f t="shared" si="29"/>
        <v>15605.5819796005</v>
      </c>
      <c r="I172" s="520">
        <v>385.77</v>
      </c>
    </row>
    <row r="173" spans="1:9" ht="26.1" customHeight="1" thickBot="1">
      <c r="A173" s="92">
        <v>96544</v>
      </c>
      <c r="B173" s="93" t="s">
        <v>45</v>
      </c>
      <c r="C173" s="58" t="s">
        <v>46</v>
      </c>
      <c r="D173" s="58" t="s">
        <v>151</v>
      </c>
      <c r="E173" s="59" t="s">
        <v>1370</v>
      </c>
      <c r="F173" s="437">
        <f>ROUND(95.6,15)</f>
        <v>95.6</v>
      </c>
      <c r="G173" s="437">
        <f t="shared" si="28"/>
        <v>12.248407279500015</v>
      </c>
      <c r="H173" s="439">
        <f t="shared" si="29"/>
        <v>1170.9477359202001</v>
      </c>
      <c r="I173" s="520">
        <v>14.7</v>
      </c>
    </row>
    <row r="174" spans="1:9" ht="26.1" customHeight="1" thickBot="1">
      <c r="A174" s="92">
        <v>96545</v>
      </c>
      <c r="B174" s="93" t="s">
        <v>45</v>
      </c>
      <c r="C174" s="58" t="s">
        <v>46</v>
      </c>
      <c r="D174" s="58" t="s">
        <v>151</v>
      </c>
      <c r="E174" s="59" t="s">
        <v>1371</v>
      </c>
      <c r="F174" s="437">
        <f>ROUND(5.4,15)</f>
        <v>5.4</v>
      </c>
      <c r="G174" s="437">
        <f t="shared" si="28"/>
        <v>11.215208298100015</v>
      </c>
      <c r="H174" s="439">
        <f t="shared" si="29"/>
        <v>60.562124809740098</v>
      </c>
      <c r="I174" s="520">
        <v>13.46</v>
      </c>
    </row>
    <row r="175" spans="1:9" ht="26.1" customHeight="1" thickBot="1">
      <c r="A175" s="92">
        <v>96546</v>
      </c>
      <c r="B175" s="93" t="s">
        <v>45</v>
      </c>
      <c r="C175" s="58" t="s">
        <v>46</v>
      </c>
      <c r="D175" s="58" t="s">
        <v>151</v>
      </c>
      <c r="E175" s="59" t="s">
        <v>1372</v>
      </c>
      <c r="F175" s="437">
        <f>ROUND(318.7,15)</f>
        <v>318.7</v>
      </c>
      <c r="G175" s="437">
        <f t="shared" si="28"/>
        <v>9.8903805719500113</v>
      </c>
      <c r="H175" s="439">
        <f t="shared" si="29"/>
        <v>3152.06428828047</v>
      </c>
      <c r="I175" s="520">
        <v>11.87</v>
      </c>
    </row>
    <row r="176" spans="1:9" ht="26.1" customHeight="1" thickBot="1">
      <c r="A176" s="92">
        <v>96547</v>
      </c>
      <c r="B176" s="93" t="s">
        <v>45</v>
      </c>
      <c r="C176" s="58" t="s">
        <v>46</v>
      </c>
      <c r="D176" s="58" t="s">
        <v>151</v>
      </c>
      <c r="E176" s="59" t="s">
        <v>1373</v>
      </c>
      <c r="F176" s="437">
        <f>ROUND(1213.1,15)</f>
        <v>1213.0999999999999</v>
      </c>
      <c r="G176" s="437">
        <f t="shared" si="28"/>
        <v>8.2989208506000107</v>
      </c>
      <c r="H176" s="439">
        <f t="shared" si="29"/>
        <v>10067.4208838629</v>
      </c>
      <c r="I176" s="520">
        <v>9.9600000000000009</v>
      </c>
    </row>
    <row r="177" spans="1:9" ht="26.1" customHeight="1" thickBot="1">
      <c r="A177" s="92">
        <v>96548</v>
      </c>
      <c r="B177" s="93" t="s">
        <v>45</v>
      </c>
      <c r="C177" s="58" t="s">
        <v>46</v>
      </c>
      <c r="D177" s="58" t="s">
        <v>151</v>
      </c>
      <c r="E177" s="59" t="s">
        <v>1374</v>
      </c>
      <c r="F177" s="437">
        <f>ROUND(1950.2,15)</f>
        <v>1950.2</v>
      </c>
      <c r="G177" s="437">
        <f t="shared" si="28"/>
        <v>7.7573246103500093</v>
      </c>
      <c r="H177" s="439">
        <f t="shared" si="29"/>
        <v>15128.334455104599</v>
      </c>
      <c r="I177" s="520">
        <v>9.31</v>
      </c>
    </row>
    <row r="178" spans="1:9" ht="26.1" customHeight="1" thickBot="1">
      <c r="A178" s="96">
        <v>96543</v>
      </c>
      <c r="B178" s="97" t="s">
        <v>45</v>
      </c>
      <c r="C178" s="60" t="s">
        <v>46</v>
      </c>
      <c r="D178" s="60" t="s">
        <v>151</v>
      </c>
      <c r="E178" s="61" t="s">
        <v>1375</v>
      </c>
      <c r="F178" s="442">
        <f>ROUND(565.8,15)</f>
        <v>565.79999999999995</v>
      </c>
      <c r="G178" s="437">
        <f t="shared" si="28"/>
        <v>13.389925508950016</v>
      </c>
      <c r="H178" s="443">
        <f t="shared" si="29"/>
        <v>7576.0198529639201</v>
      </c>
      <c r="I178" s="520">
        <v>16.07</v>
      </c>
    </row>
    <row r="179" spans="1:9" ht="15.75" thickTop="1" thickBot="1">
      <c r="A179" s="75"/>
      <c r="B179" s="76"/>
      <c r="C179" s="76"/>
      <c r="D179" s="77"/>
      <c r="E179" s="411" t="s">
        <v>191</v>
      </c>
      <c r="F179" s="412"/>
      <c r="G179" s="413">
        <f>H168+H169+H170+H171+H172+H173+H174+H175+H176+H177+H178</f>
        <v>73485.3633376215</v>
      </c>
      <c r="H179" s="414">
        <f>ROUND(G179,15)</f>
        <v>73485.3633376215</v>
      </c>
      <c r="I179" s="520"/>
    </row>
    <row r="180" spans="1:9" ht="15.75" thickTop="1" thickBot="1">
      <c r="A180" s="272" t="s">
        <v>195</v>
      </c>
      <c r="B180" s="273"/>
      <c r="C180" s="273" t="s">
        <v>38</v>
      </c>
      <c r="D180" s="274"/>
      <c r="E180" s="275" t="s">
        <v>196</v>
      </c>
      <c r="F180" s="276"/>
      <c r="G180" s="277">
        <f>G189</f>
        <v>49157.474312405502</v>
      </c>
      <c r="H180" s="278">
        <f>ROUND(G180,15)</f>
        <v>49157.474312405502</v>
      </c>
      <c r="I180" s="520"/>
    </row>
    <row r="181" spans="1:9" ht="26.1" customHeight="1" thickTop="1" thickBot="1">
      <c r="A181" s="90">
        <v>92480</v>
      </c>
      <c r="B181" s="91" t="s">
        <v>45</v>
      </c>
      <c r="C181" s="54" t="s">
        <v>46</v>
      </c>
      <c r="D181" s="54" t="s">
        <v>49</v>
      </c>
      <c r="E181" s="55" t="s">
        <v>197</v>
      </c>
      <c r="F181" s="436">
        <f>ROUND(133.6,15)</f>
        <v>133.6</v>
      </c>
      <c r="G181" s="437">
        <f t="shared" ref="G181:G188" si="30">I181*(100%-$I$14)</f>
        <v>43.094396224200047</v>
      </c>
      <c r="H181" s="438">
        <f t="shared" ref="H181:H188" si="31">ROUND(F181*G181,15)</f>
        <v>5757.4113355531299</v>
      </c>
      <c r="I181" s="520">
        <v>51.72</v>
      </c>
    </row>
    <row r="182" spans="1:9" ht="36" customHeight="1" thickBot="1">
      <c r="A182" s="92" t="s">
        <v>198</v>
      </c>
      <c r="B182" s="93" t="s">
        <v>148</v>
      </c>
      <c r="C182" s="58" t="s">
        <v>46</v>
      </c>
      <c r="D182" s="58" t="s">
        <v>76</v>
      </c>
      <c r="E182" s="59" t="s">
        <v>199</v>
      </c>
      <c r="F182" s="437">
        <f>ROUND(31.74,15)</f>
        <v>31.74</v>
      </c>
      <c r="G182" s="437">
        <f t="shared" si="30"/>
        <v>313.97583884770035</v>
      </c>
      <c r="H182" s="439">
        <f t="shared" si="31"/>
        <v>9965.5931250260091</v>
      </c>
      <c r="I182" s="520">
        <v>376.82</v>
      </c>
    </row>
    <row r="183" spans="1:9" ht="26.1" customHeight="1" thickBot="1">
      <c r="A183" s="92">
        <v>92760</v>
      </c>
      <c r="B183" s="93" t="s">
        <v>45</v>
      </c>
      <c r="C183" s="58" t="s">
        <v>46</v>
      </c>
      <c r="D183" s="58" t="s">
        <v>151</v>
      </c>
      <c r="E183" s="59" t="s">
        <v>200</v>
      </c>
      <c r="F183" s="437">
        <f>ROUND(347.1,15)</f>
        <v>347.1</v>
      </c>
      <c r="G183" s="437">
        <f t="shared" si="30"/>
        <v>10.631950808600012</v>
      </c>
      <c r="H183" s="439">
        <f t="shared" si="31"/>
        <v>3690.3501256650602</v>
      </c>
      <c r="I183" s="520">
        <v>12.76</v>
      </c>
    </row>
    <row r="184" spans="1:9" ht="26.1" customHeight="1" thickBot="1">
      <c r="A184" s="92">
        <v>92761</v>
      </c>
      <c r="B184" s="93" t="s">
        <v>45</v>
      </c>
      <c r="C184" s="58" t="s">
        <v>46</v>
      </c>
      <c r="D184" s="58" t="s">
        <v>151</v>
      </c>
      <c r="E184" s="59" t="s">
        <v>186</v>
      </c>
      <c r="F184" s="437">
        <f>ROUND(178.6,15)</f>
        <v>178.6</v>
      </c>
      <c r="G184" s="437">
        <f t="shared" si="30"/>
        <v>9.9653708206000129</v>
      </c>
      <c r="H184" s="439">
        <f t="shared" si="31"/>
        <v>1779.81522855916</v>
      </c>
      <c r="I184" s="520">
        <v>11.96</v>
      </c>
    </row>
    <row r="185" spans="1:9" ht="26.1" customHeight="1" thickBot="1">
      <c r="A185" s="92">
        <v>92762</v>
      </c>
      <c r="B185" s="93" t="s">
        <v>45</v>
      </c>
      <c r="C185" s="58" t="s">
        <v>46</v>
      </c>
      <c r="D185" s="58" t="s">
        <v>151</v>
      </c>
      <c r="E185" s="59" t="s">
        <v>187</v>
      </c>
      <c r="F185" s="437">
        <f>ROUND(483.5,15)</f>
        <v>483.5</v>
      </c>
      <c r="G185" s="437">
        <f t="shared" si="30"/>
        <v>8.9071750896500106</v>
      </c>
      <c r="H185" s="439">
        <f t="shared" si="31"/>
        <v>4306.6191558457804</v>
      </c>
      <c r="I185" s="520">
        <v>10.69</v>
      </c>
    </row>
    <row r="186" spans="1:9" ht="26.1" customHeight="1" thickBot="1">
      <c r="A186" s="92">
        <v>92763</v>
      </c>
      <c r="B186" s="93" t="s">
        <v>45</v>
      </c>
      <c r="C186" s="58" t="s">
        <v>46</v>
      </c>
      <c r="D186" s="58" t="s">
        <v>151</v>
      </c>
      <c r="E186" s="59" t="s">
        <v>188</v>
      </c>
      <c r="F186" s="437">
        <f>ROUND(635.8,15)</f>
        <v>635.79999999999995</v>
      </c>
      <c r="G186" s="437">
        <f t="shared" si="30"/>
        <v>7.5073571148500085</v>
      </c>
      <c r="H186" s="439">
        <f t="shared" si="31"/>
        <v>4773.1776536216303</v>
      </c>
      <c r="I186" s="520">
        <v>9.01</v>
      </c>
    </row>
    <row r="187" spans="1:9" ht="26.1" customHeight="1" thickBot="1">
      <c r="A187" s="92">
        <v>92764</v>
      </c>
      <c r="B187" s="93" t="s">
        <v>45</v>
      </c>
      <c r="C187" s="58" t="s">
        <v>46</v>
      </c>
      <c r="D187" s="58" t="s">
        <v>151</v>
      </c>
      <c r="E187" s="59" t="s">
        <v>189</v>
      </c>
      <c r="F187" s="437">
        <f>ROUND(1754.3,15)</f>
        <v>1754.3</v>
      </c>
      <c r="G187" s="437">
        <f t="shared" si="30"/>
        <v>7.140738121450009</v>
      </c>
      <c r="H187" s="439">
        <f t="shared" si="31"/>
        <v>12526.996886459799</v>
      </c>
      <c r="I187" s="520">
        <v>8.57</v>
      </c>
    </row>
    <row r="188" spans="1:9" ht="26.1" customHeight="1" thickBot="1">
      <c r="A188" s="96">
        <v>92759</v>
      </c>
      <c r="B188" s="97" t="s">
        <v>45</v>
      </c>
      <c r="C188" s="60" t="s">
        <v>46</v>
      </c>
      <c r="D188" s="60" t="s">
        <v>151</v>
      </c>
      <c r="E188" s="61" t="s">
        <v>190</v>
      </c>
      <c r="F188" s="442">
        <f>ROUND(563.1,15)</f>
        <v>563.1</v>
      </c>
      <c r="G188" s="437">
        <f t="shared" si="30"/>
        <v>11.290198546750014</v>
      </c>
      <c r="H188" s="443">
        <f t="shared" si="31"/>
        <v>6357.51080167493</v>
      </c>
      <c r="I188" s="520">
        <v>13.55</v>
      </c>
    </row>
    <row r="189" spans="1:9" ht="15.75" thickTop="1" thickBot="1">
      <c r="A189" s="75"/>
      <c r="B189" s="76"/>
      <c r="C189" s="76"/>
      <c r="D189" s="77"/>
      <c r="E189" s="411" t="s">
        <v>195</v>
      </c>
      <c r="F189" s="412"/>
      <c r="G189" s="413">
        <f>H181+H182+H183+H184+H185+H186+H187+H188</f>
        <v>49157.474312405502</v>
      </c>
      <c r="H189" s="414">
        <f>ROUND(G189,15)</f>
        <v>49157.474312405502</v>
      </c>
      <c r="I189" s="520"/>
    </row>
    <row r="190" spans="1:9" ht="15.75" thickTop="1" thickBot="1">
      <c r="A190" s="272" t="s">
        <v>201</v>
      </c>
      <c r="B190" s="273"/>
      <c r="C190" s="273" t="s">
        <v>38</v>
      </c>
      <c r="D190" s="274"/>
      <c r="E190" s="275" t="s">
        <v>202</v>
      </c>
      <c r="F190" s="276"/>
      <c r="G190" s="277">
        <f>G199</f>
        <v>47621.279238055526</v>
      </c>
      <c r="H190" s="278">
        <f>ROUND(G190,15)</f>
        <v>47621.279238055497</v>
      </c>
      <c r="I190" s="520"/>
    </row>
    <row r="191" spans="1:9" ht="26.1" customHeight="1" thickTop="1" thickBot="1">
      <c r="A191" s="90">
        <v>92480</v>
      </c>
      <c r="B191" s="91" t="s">
        <v>45</v>
      </c>
      <c r="C191" s="54" t="s">
        <v>46</v>
      </c>
      <c r="D191" s="54" t="s">
        <v>49</v>
      </c>
      <c r="E191" s="55" t="s">
        <v>197</v>
      </c>
      <c r="F191" s="436">
        <f>ROUND(56.25,15)</f>
        <v>56.25</v>
      </c>
      <c r="G191" s="437">
        <f t="shared" ref="G191:G198" si="32">I191*(100%-$I$14)</f>
        <v>43.094396224200047</v>
      </c>
      <c r="H191" s="438">
        <f t="shared" ref="H191:H198" si="33">ROUND(F191*G191,15)</f>
        <v>2424.0597876112502</v>
      </c>
      <c r="I191" s="520">
        <v>51.72</v>
      </c>
    </row>
    <row r="192" spans="1:9" ht="36" customHeight="1" thickBot="1">
      <c r="A192" s="92" t="s">
        <v>198</v>
      </c>
      <c r="B192" s="93" t="s">
        <v>148</v>
      </c>
      <c r="C192" s="58" t="s">
        <v>46</v>
      </c>
      <c r="D192" s="58" t="s">
        <v>76</v>
      </c>
      <c r="E192" s="59" t="s">
        <v>199</v>
      </c>
      <c r="F192" s="437">
        <f>ROUND(34.9,15)</f>
        <v>34.9</v>
      </c>
      <c r="G192" s="437">
        <f t="shared" si="32"/>
        <v>313.97583884770035</v>
      </c>
      <c r="H192" s="439">
        <f t="shared" si="33"/>
        <v>10957.756775784699</v>
      </c>
      <c r="I192" s="520">
        <v>376.82</v>
      </c>
    </row>
    <row r="193" spans="1:9" ht="26.1" customHeight="1" thickBot="1">
      <c r="A193" s="92">
        <v>92760</v>
      </c>
      <c r="B193" s="93" t="s">
        <v>45</v>
      </c>
      <c r="C193" s="58" t="s">
        <v>46</v>
      </c>
      <c r="D193" s="58" t="s">
        <v>151</v>
      </c>
      <c r="E193" s="59" t="s">
        <v>200</v>
      </c>
      <c r="F193" s="437">
        <f>ROUND(284.8,15)</f>
        <v>284.8</v>
      </c>
      <c r="G193" s="437">
        <f t="shared" si="32"/>
        <v>10.631950808600012</v>
      </c>
      <c r="H193" s="439">
        <f t="shared" si="33"/>
        <v>3027.9795902892802</v>
      </c>
      <c r="I193" s="520">
        <v>12.76</v>
      </c>
    </row>
    <row r="194" spans="1:9" ht="26.1" customHeight="1" thickBot="1">
      <c r="A194" s="92">
        <v>92761</v>
      </c>
      <c r="B194" s="93" t="s">
        <v>45</v>
      </c>
      <c r="C194" s="58" t="s">
        <v>46</v>
      </c>
      <c r="D194" s="58" t="s">
        <v>151</v>
      </c>
      <c r="E194" s="59" t="s">
        <v>186</v>
      </c>
      <c r="F194" s="437">
        <f>ROUND(491.8,15)</f>
        <v>491.8</v>
      </c>
      <c r="G194" s="437">
        <f t="shared" si="32"/>
        <v>9.9653708206000129</v>
      </c>
      <c r="H194" s="439">
        <f t="shared" si="33"/>
        <v>4900.9693695710903</v>
      </c>
      <c r="I194" s="520">
        <v>11.96</v>
      </c>
    </row>
    <row r="195" spans="1:9" ht="26.1" customHeight="1" thickBot="1">
      <c r="A195" s="96">
        <v>92762</v>
      </c>
      <c r="B195" s="97" t="s">
        <v>45</v>
      </c>
      <c r="C195" s="60" t="s">
        <v>46</v>
      </c>
      <c r="D195" s="60" t="s">
        <v>151</v>
      </c>
      <c r="E195" s="61" t="s">
        <v>187</v>
      </c>
      <c r="F195" s="442">
        <f>ROUND(433.7,15)</f>
        <v>433.7</v>
      </c>
      <c r="G195" s="442">
        <f t="shared" si="32"/>
        <v>8.9071750896500106</v>
      </c>
      <c r="H195" s="443">
        <f t="shared" si="33"/>
        <v>3863.04183638121</v>
      </c>
      <c r="I195" s="520">
        <v>10.69</v>
      </c>
    </row>
    <row r="196" spans="1:9" ht="26.1" customHeight="1" thickTop="1" thickBot="1">
      <c r="A196" s="90">
        <v>92763</v>
      </c>
      <c r="B196" s="91" t="s">
        <v>45</v>
      </c>
      <c r="C196" s="54" t="s">
        <v>46</v>
      </c>
      <c r="D196" s="54" t="s">
        <v>151</v>
      </c>
      <c r="E196" s="55" t="s">
        <v>188</v>
      </c>
      <c r="F196" s="436">
        <f>ROUND(687.4,15)</f>
        <v>687.4</v>
      </c>
      <c r="G196" s="436">
        <f t="shared" si="32"/>
        <v>7.5073571148500085</v>
      </c>
      <c r="H196" s="438">
        <f t="shared" si="33"/>
        <v>5160.5572807479002</v>
      </c>
      <c r="I196" s="520">
        <v>9.01</v>
      </c>
    </row>
    <row r="197" spans="1:9" ht="26.1" customHeight="1" thickBot="1">
      <c r="A197" s="92">
        <v>92764</v>
      </c>
      <c r="B197" s="93" t="s">
        <v>45</v>
      </c>
      <c r="C197" s="58" t="s">
        <v>46</v>
      </c>
      <c r="D197" s="58" t="s">
        <v>151</v>
      </c>
      <c r="E197" s="59" t="s">
        <v>189</v>
      </c>
      <c r="F197" s="437">
        <f>ROUND(1227,15)</f>
        <v>1227</v>
      </c>
      <c r="G197" s="437">
        <f t="shared" si="32"/>
        <v>7.140738121450009</v>
      </c>
      <c r="H197" s="439">
        <f t="shared" si="33"/>
        <v>8761.68567501916</v>
      </c>
      <c r="I197" s="520">
        <v>8.57</v>
      </c>
    </row>
    <row r="198" spans="1:9" ht="26.1" customHeight="1" thickBot="1">
      <c r="A198" s="96">
        <v>92759</v>
      </c>
      <c r="B198" s="97" t="s">
        <v>45</v>
      </c>
      <c r="C198" s="60" t="s">
        <v>46</v>
      </c>
      <c r="D198" s="60" t="s">
        <v>151</v>
      </c>
      <c r="E198" s="61" t="s">
        <v>190</v>
      </c>
      <c r="F198" s="442">
        <f>ROUND(755.1,15)</f>
        <v>755.1</v>
      </c>
      <c r="G198" s="437">
        <f t="shared" si="32"/>
        <v>11.290198546750014</v>
      </c>
      <c r="H198" s="443">
        <f t="shared" si="33"/>
        <v>8525.2289226509401</v>
      </c>
      <c r="I198" s="520">
        <v>13.55</v>
      </c>
    </row>
    <row r="199" spans="1:9" ht="15.75" thickTop="1" thickBot="1">
      <c r="A199" s="75"/>
      <c r="B199" s="76"/>
      <c r="C199" s="76"/>
      <c r="D199" s="77"/>
      <c r="E199" s="411" t="s">
        <v>201</v>
      </c>
      <c r="F199" s="412"/>
      <c r="G199" s="413">
        <f>H191+H192+H193+H194+H195+H196+H197+H198</f>
        <v>47621.279238055526</v>
      </c>
      <c r="H199" s="414">
        <f>ROUND(G199,15)</f>
        <v>47621.279238055497</v>
      </c>
      <c r="I199" s="520"/>
    </row>
    <row r="200" spans="1:9" ht="15.75" thickTop="1" thickBot="1">
      <c r="A200" s="272" t="s">
        <v>203</v>
      </c>
      <c r="B200" s="273"/>
      <c r="C200" s="273" t="s">
        <v>38</v>
      </c>
      <c r="D200" s="274"/>
      <c r="E200" s="275" t="s">
        <v>204</v>
      </c>
      <c r="F200" s="276"/>
      <c r="G200" s="277">
        <f>G209</f>
        <v>56766.643021527605</v>
      </c>
      <c r="H200" s="278">
        <f>ROUND(G200,15)</f>
        <v>56766.643021527598</v>
      </c>
      <c r="I200" s="520"/>
    </row>
    <row r="201" spans="1:9" ht="36" customHeight="1" thickTop="1" thickBot="1">
      <c r="A201" s="90" t="s">
        <v>198</v>
      </c>
      <c r="B201" s="91" t="s">
        <v>148</v>
      </c>
      <c r="C201" s="54" t="s">
        <v>46</v>
      </c>
      <c r="D201" s="54" t="s">
        <v>76</v>
      </c>
      <c r="E201" s="55" t="s">
        <v>199</v>
      </c>
      <c r="F201" s="436">
        <f>ROUND(61.67,15)</f>
        <v>61.67</v>
      </c>
      <c r="G201" s="437">
        <f t="shared" ref="G201:G208" si="34">I201*(100%-$I$14)</f>
        <v>313.97583884770035</v>
      </c>
      <c r="H201" s="438">
        <f t="shared" ref="H201:H208" si="35">ROUND(F201*G201,15)</f>
        <v>19362.889981737699</v>
      </c>
      <c r="I201" s="520">
        <v>376.82</v>
      </c>
    </row>
    <row r="202" spans="1:9" ht="15" thickBot="1">
      <c r="A202" s="94">
        <v>93382</v>
      </c>
      <c r="B202" s="95" t="s">
        <v>45</v>
      </c>
      <c r="C202" s="74" t="s">
        <v>46</v>
      </c>
      <c r="D202" s="74" t="s">
        <v>76</v>
      </c>
      <c r="E202" s="78" t="s">
        <v>166</v>
      </c>
      <c r="F202" s="440">
        <f>ROUND(123.34,15)</f>
        <v>123.34</v>
      </c>
      <c r="G202" s="440">
        <f t="shared" si="34"/>
        <v>20.289028384750026</v>
      </c>
      <c r="H202" s="441">
        <f t="shared" si="35"/>
        <v>2502.4487609750699</v>
      </c>
      <c r="I202" s="520">
        <v>24.35</v>
      </c>
    </row>
    <row r="203" spans="1:9" ht="15" thickBot="1">
      <c r="A203" s="94" t="s">
        <v>164</v>
      </c>
      <c r="B203" s="95" t="s">
        <v>57</v>
      </c>
      <c r="C203" s="74" t="s">
        <v>46</v>
      </c>
      <c r="D203" s="74" t="s">
        <v>76</v>
      </c>
      <c r="E203" s="78" t="s">
        <v>165</v>
      </c>
      <c r="F203" s="440">
        <f>ROUND(30.83,15)</f>
        <v>30.83</v>
      </c>
      <c r="G203" s="440">
        <f t="shared" si="34"/>
        <v>137.51545152440016</v>
      </c>
      <c r="H203" s="441">
        <f t="shared" si="35"/>
        <v>4239.6013704972602</v>
      </c>
      <c r="I203" s="520">
        <v>165.04</v>
      </c>
    </row>
    <row r="204" spans="1:9" ht="26.1" customHeight="1" thickBot="1">
      <c r="A204" s="92">
        <v>92769</v>
      </c>
      <c r="B204" s="93" t="s">
        <v>45</v>
      </c>
      <c r="C204" s="58" t="s">
        <v>46</v>
      </c>
      <c r="D204" s="58" t="s">
        <v>151</v>
      </c>
      <c r="E204" s="59" t="s">
        <v>205</v>
      </c>
      <c r="F204" s="437">
        <f>ROUND(380.4,15)</f>
        <v>380.4</v>
      </c>
      <c r="G204" s="437">
        <f t="shared" si="34"/>
        <v>9.7737290740500118</v>
      </c>
      <c r="H204" s="439">
        <f t="shared" si="35"/>
        <v>3717.9265397686199</v>
      </c>
      <c r="I204" s="520">
        <v>11.73</v>
      </c>
    </row>
    <row r="205" spans="1:9" ht="26.1" customHeight="1" thickBot="1">
      <c r="A205" s="92">
        <v>92770</v>
      </c>
      <c r="B205" s="93" t="s">
        <v>45</v>
      </c>
      <c r="C205" s="58" t="s">
        <v>46</v>
      </c>
      <c r="D205" s="58" t="s">
        <v>151</v>
      </c>
      <c r="E205" s="59" t="s">
        <v>206</v>
      </c>
      <c r="F205" s="437">
        <f>ROUND(1987.9,15)</f>
        <v>1987.9</v>
      </c>
      <c r="G205" s="437">
        <f t="shared" si="34"/>
        <v>9.3321198320000107</v>
      </c>
      <c r="H205" s="439">
        <f t="shared" si="35"/>
        <v>18551.321014032801</v>
      </c>
      <c r="I205" s="520">
        <v>11.2</v>
      </c>
    </row>
    <row r="206" spans="1:9" ht="26.1" customHeight="1" thickBot="1">
      <c r="A206" s="92">
        <v>92771</v>
      </c>
      <c r="B206" s="93" t="s">
        <v>45</v>
      </c>
      <c r="C206" s="58" t="s">
        <v>46</v>
      </c>
      <c r="D206" s="58" t="s">
        <v>151</v>
      </c>
      <c r="E206" s="59" t="s">
        <v>207</v>
      </c>
      <c r="F206" s="437">
        <f>ROUND(465.4,15)</f>
        <v>465.4</v>
      </c>
      <c r="G206" s="437">
        <f t="shared" si="34"/>
        <v>8.4155723485000102</v>
      </c>
      <c r="H206" s="439">
        <f t="shared" si="35"/>
        <v>3916.6073709919001</v>
      </c>
      <c r="I206" s="520">
        <v>10.1</v>
      </c>
    </row>
    <row r="207" spans="1:9" ht="26.1" customHeight="1" thickBot="1">
      <c r="A207" s="92">
        <v>92772</v>
      </c>
      <c r="B207" s="93" t="s">
        <v>45</v>
      </c>
      <c r="C207" s="58" t="s">
        <v>46</v>
      </c>
      <c r="D207" s="58" t="s">
        <v>151</v>
      </c>
      <c r="E207" s="59" t="s">
        <v>208</v>
      </c>
      <c r="F207" s="437">
        <f>ROUND(180.8,15)</f>
        <v>180.8</v>
      </c>
      <c r="G207" s="437">
        <f t="shared" si="34"/>
        <v>7.140738121450009</v>
      </c>
      <c r="H207" s="439">
        <f t="shared" si="35"/>
        <v>1291.04545235816</v>
      </c>
      <c r="I207" s="520">
        <v>8.57</v>
      </c>
    </row>
    <row r="208" spans="1:9" ht="26.1" customHeight="1" thickBot="1">
      <c r="A208" s="96">
        <v>92768</v>
      </c>
      <c r="B208" s="97" t="s">
        <v>45</v>
      </c>
      <c r="C208" s="60" t="s">
        <v>46</v>
      </c>
      <c r="D208" s="60" t="s">
        <v>151</v>
      </c>
      <c r="E208" s="61" t="s">
        <v>209</v>
      </c>
      <c r="F208" s="442">
        <f>ROUND(313.3,15)</f>
        <v>313.3</v>
      </c>
      <c r="G208" s="437">
        <f t="shared" si="34"/>
        <v>10.165344817000012</v>
      </c>
      <c r="H208" s="443">
        <f t="shared" si="35"/>
        <v>3184.8025311660999</v>
      </c>
      <c r="I208" s="520">
        <v>12.2</v>
      </c>
    </row>
    <row r="209" spans="1:9" ht="15.75" thickTop="1" thickBot="1">
      <c r="A209" s="75"/>
      <c r="B209" s="76"/>
      <c r="C209" s="76"/>
      <c r="D209" s="77"/>
      <c r="E209" s="411" t="s">
        <v>203</v>
      </c>
      <c r="F209" s="412"/>
      <c r="G209" s="413">
        <f>H201+H202+H203+H204+H205+H206+H207+H208</f>
        <v>56766.643021527605</v>
      </c>
      <c r="H209" s="414">
        <f>ROUND(G209,15)</f>
        <v>56766.643021527598</v>
      </c>
      <c r="I209" s="520"/>
    </row>
    <row r="210" spans="1:9" ht="15.75" thickTop="1" thickBot="1">
      <c r="A210" s="272" t="s">
        <v>210</v>
      </c>
      <c r="B210" s="273"/>
      <c r="C210" s="273" t="s">
        <v>38</v>
      </c>
      <c r="D210" s="274"/>
      <c r="E210" s="275" t="s">
        <v>211</v>
      </c>
      <c r="F210" s="276"/>
      <c r="G210" s="277">
        <f>G218</f>
        <v>79393.294267039979</v>
      </c>
      <c r="H210" s="278">
        <f>ROUND(G210,15)</f>
        <v>79393.294267039993</v>
      </c>
      <c r="I210" s="520"/>
    </row>
    <row r="211" spans="1:9" ht="36" customHeight="1" thickTop="1" thickBot="1">
      <c r="A211" s="90" t="s">
        <v>212</v>
      </c>
      <c r="B211" s="91" t="s">
        <v>148</v>
      </c>
      <c r="C211" s="54" t="s">
        <v>46</v>
      </c>
      <c r="D211" s="54" t="s">
        <v>49</v>
      </c>
      <c r="E211" s="55" t="s">
        <v>213</v>
      </c>
      <c r="F211" s="436">
        <f>ROUND(522.12,15)</f>
        <v>522.12</v>
      </c>
      <c r="G211" s="437">
        <f t="shared" ref="G211:G217" si="36">I211*(100%-$I$14)</f>
        <v>26.76318651820003</v>
      </c>
      <c r="H211" s="438">
        <f t="shared" ref="H211:H217" si="37">ROUND(F211*G211,15)</f>
        <v>13973.5949448826</v>
      </c>
      <c r="I211" s="520">
        <v>32.119999999999997</v>
      </c>
    </row>
    <row r="212" spans="1:9" ht="36" customHeight="1" thickBot="1">
      <c r="A212" s="92" t="s">
        <v>198</v>
      </c>
      <c r="B212" s="93" t="s">
        <v>148</v>
      </c>
      <c r="C212" s="58" t="s">
        <v>46</v>
      </c>
      <c r="D212" s="58" t="s">
        <v>76</v>
      </c>
      <c r="E212" s="59" t="s">
        <v>199</v>
      </c>
      <c r="F212" s="437">
        <f>ROUND(63.27,15)</f>
        <v>63.27</v>
      </c>
      <c r="G212" s="437">
        <f t="shared" si="36"/>
        <v>313.97583884770035</v>
      </c>
      <c r="H212" s="439">
        <f t="shared" si="37"/>
        <v>19865.251323894001</v>
      </c>
      <c r="I212" s="520">
        <v>376.82</v>
      </c>
    </row>
    <row r="213" spans="1:9" ht="26.1" customHeight="1" thickBot="1">
      <c r="A213" s="92">
        <v>92769</v>
      </c>
      <c r="B213" s="93" t="s">
        <v>45</v>
      </c>
      <c r="C213" s="58" t="s">
        <v>46</v>
      </c>
      <c r="D213" s="58" t="s">
        <v>151</v>
      </c>
      <c r="E213" s="59" t="s">
        <v>205</v>
      </c>
      <c r="F213" s="437">
        <f>ROUND(119.5,15)</f>
        <v>119.5</v>
      </c>
      <c r="G213" s="437">
        <f t="shared" si="36"/>
        <v>9.7737290740500118</v>
      </c>
      <c r="H213" s="439">
        <f t="shared" si="37"/>
        <v>1167.96062434898</v>
      </c>
      <c r="I213" s="520">
        <v>11.73</v>
      </c>
    </row>
    <row r="214" spans="1:9" ht="26.1" customHeight="1" thickBot="1">
      <c r="A214" s="92">
        <v>92770</v>
      </c>
      <c r="B214" s="93" t="s">
        <v>45</v>
      </c>
      <c r="C214" s="58" t="s">
        <v>46</v>
      </c>
      <c r="D214" s="58" t="s">
        <v>151</v>
      </c>
      <c r="E214" s="59" t="s">
        <v>206</v>
      </c>
      <c r="F214" s="437">
        <f>ROUND(1736,15)</f>
        <v>1736</v>
      </c>
      <c r="G214" s="437">
        <f t="shared" si="36"/>
        <v>9.3321198320000107</v>
      </c>
      <c r="H214" s="439">
        <f t="shared" si="37"/>
        <v>16200.560028352</v>
      </c>
      <c r="I214" s="520">
        <v>11.2</v>
      </c>
    </row>
    <row r="215" spans="1:9" ht="26.1" customHeight="1" thickBot="1">
      <c r="A215" s="92">
        <v>92771</v>
      </c>
      <c r="B215" s="93" t="s">
        <v>45</v>
      </c>
      <c r="C215" s="58" t="s">
        <v>46</v>
      </c>
      <c r="D215" s="58" t="s">
        <v>151</v>
      </c>
      <c r="E215" s="59" t="s">
        <v>207</v>
      </c>
      <c r="F215" s="437">
        <f>ROUND(2296.1,15)</f>
        <v>2296.1</v>
      </c>
      <c r="G215" s="437">
        <f t="shared" si="36"/>
        <v>8.4155723485000102</v>
      </c>
      <c r="H215" s="439">
        <f t="shared" si="37"/>
        <v>19322.995669390901</v>
      </c>
      <c r="I215" s="520">
        <v>10.1</v>
      </c>
    </row>
    <row r="216" spans="1:9" ht="26.1" customHeight="1" thickBot="1">
      <c r="A216" s="92">
        <v>92772</v>
      </c>
      <c r="B216" s="93" t="s">
        <v>45</v>
      </c>
      <c r="C216" s="58" t="s">
        <v>46</v>
      </c>
      <c r="D216" s="58" t="s">
        <v>151</v>
      </c>
      <c r="E216" s="59" t="s">
        <v>208</v>
      </c>
      <c r="F216" s="437">
        <f>ROUND(27.3,15)</f>
        <v>27.3</v>
      </c>
      <c r="G216" s="437">
        <f t="shared" si="36"/>
        <v>7.140738121450009</v>
      </c>
      <c r="H216" s="439">
        <f t="shared" si="37"/>
        <v>194.942150715585</v>
      </c>
      <c r="I216" s="520">
        <v>8.57</v>
      </c>
    </row>
    <row r="217" spans="1:9" ht="26.1" customHeight="1" thickBot="1">
      <c r="A217" s="96">
        <v>92768</v>
      </c>
      <c r="B217" s="97" t="s">
        <v>45</v>
      </c>
      <c r="C217" s="60" t="s">
        <v>46</v>
      </c>
      <c r="D217" s="60" t="s">
        <v>151</v>
      </c>
      <c r="E217" s="61" t="s">
        <v>209</v>
      </c>
      <c r="F217" s="442">
        <f>ROUND(852.7,15)</f>
        <v>852.7</v>
      </c>
      <c r="G217" s="437">
        <f t="shared" si="36"/>
        <v>10.165344817000012</v>
      </c>
      <c r="H217" s="443">
        <f t="shared" si="37"/>
        <v>8667.9895254559106</v>
      </c>
      <c r="I217" s="520">
        <v>12.2</v>
      </c>
    </row>
    <row r="218" spans="1:9" ht="15.75" thickTop="1" thickBot="1">
      <c r="A218" s="75"/>
      <c r="B218" s="76"/>
      <c r="C218" s="76"/>
      <c r="D218" s="77"/>
      <c r="E218" s="411" t="s">
        <v>210</v>
      </c>
      <c r="F218" s="412"/>
      <c r="G218" s="413">
        <f>H211+H212+H213+H214+H215+H216+H217</f>
        <v>79393.294267039979</v>
      </c>
      <c r="H218" s="414">
        <f>ROUND(G218,15)</f>
        <v>79393.294267039993</v>
      </c>
      <c r="I218" s="520"/>
    </row>
    <row r="219" spans="1:9" ht="15.75" thickTop="1" thickBot="1">
      <c r="A219" s="272" t="s">
        <v>214</v>
      </c>
      <c r="B219" s="273"/>
      <c r="C219" s="273" t="s">
        <v>38</v>
      </c>
      <c r="D219" s="274"/>
      <c r="E219" s="275" t="s">
        <v>215</v>
      </c>
      <c r="F219" s="276"/>
      <c r="G219" s="277">
        <f>G227</f>
        <v>93865.043434484571</v>
      </c>
      <c r="H219" s="278">
        <f>ROUND(G219,15)</f>
        <v>93865.0434344846</v>
      </c>
      <c r="I219" s="520"/>
    </row>
    <row r="220" spans="1:9" ht="36" customHeight="1" thickTop="1" thickBot="1">
      <c r="A220" s="90" t="s">
        <v>212</v>
      </c>
      <c r="B220" s="91" t="s">
        <v>148</v>
      </c>
      <c r="C220" s="54" t="s">
        <v>46</v>
      </c>
      <c r="D220" s="54" t="s">
        <v>49</v>
      </c>
      <c r="E220" s="55" t="s">
        <v>1376</v>
      </c>
      <c r="F220" s="436">
        <f>ROUND(653.2,15)</f>
        <v>653.20000000000005</v>
      </c>
      <c r="G220" s="437">
        <f t="shared" ref="G220:G226" si="38">I220*(100%-$I$14)</f>
        <v>26.76318651820003</v>
      </c>
      <c r="H220" s="438">
        <f t="shared" ref="H220:H226" si="39">ROUND(F220*G220,15)</f>
        <v>17481.713433688299</v>
      </c>
      <c r="I220" s="520">
        <v>32.119999999999997</v>
      </c>
    </row>
    <row r="221" spans="1:9" ht="36" customHeight="1" thickBot="1">
      <c r="A221" s="92" t="s">
        <v>198</v>
      </c>
      <c r="B221" s="93" t="s">
        <v>148</v>
      </c>
      <c r="C221" s="58" t="s">
        <v>46</v>
      </c>
      <c r="D221" s="58" t="s">
        <v>76</v>
      </c>
      <c r="E221" s="59" t="s">
        <v>199</v>
      </c>
      <c r="F221" s="437">
        <f>ROUND(80.7,15)</f>
        <v>80.7</v>
      </c>
      <c r="G221" s="437">
        <f t="shared" si="38"/>
        <v>313.97583884770035</v>
      </c>
      <c r="H221" s="439">
        <f t="shared" si="39"/>
        <v>25337.8501950094</v>
      </c>
      <c r="I221" s="520">
        <v>376.82</v>
      </c>
    </row>
    <row r="222" spans="1:9" ht="26.1" customHeight="1" thickBot="1">
      <c r="A222" s="92">
        <v>92769</v>
      </c>
      <c r="B222" s="93" t="s">
        <v>45</v>
      </c>
      <c r="C222" s="58" t="s">
        <v>46</v>
      </c>
      <c r="D222" s="58" t="s">
        <v>151</v>
      </c>
      <c r="E222" s="59" t="s">
        <v>205</v>
      </c>
      <c r="F222" s="437">
        <f>ROUND(161.4,15)</f>
        <v>161.4</v>
      </c>
      <c r="G222" s="437">
        <f t="shared" si="38"/>
        <v>9.7737290740500118</v>
      </c>
      <c r="H222" s="439">
        <f t="shared" si="39"/>
        <v>1577.47987255167</v>
      </c>
      <c r="I222" s="520">
        <v>11.73</v>
      </c>
    </row>
    <row r="223" spans="1:9" ht="26.1" customHeight="1" thickBot="1">
      <c r="A223" s="92">
        <v>92770</v>
      </c>
      <c r="B223" s="93" t="s">
        <v>45</v>
      </c>
      <c r="C223" s="58" t="s">
        <v>46</v>
      </c>
      <c r="D223" s="58" t="s">
        <v>151</v>
      </c>
      <c r="E223" s="59" t="s">
        <v>206</v>
      </c>
      <c r="F223" s="437">
        <f>ROUND(3965.8,15)</f>
        <v>3965.8</v>
      </c>
      <c r="G223" s="437">
        <f t="shared" si="38"/>
        <v>9.3321198320000107</v>
      </c>
      <c r="H223" s="439">
        <f t="shared" si="39"/>
        <v>37009.3208297456</v>
      </c>
      <c r="I223" s="520">
        <v>11.2</v>
      </c>
    </row>
    <row r="224" spans="1:9" ht="26.1" customHeight="1" thickBot="1">
      <c r="A224" s="92">
        <v>92771</v>
      </c>
      <c r="B224" s="93" t="s">
        <v>45</v>
      </c>
      <c r="C224" s="58" t="s">
        <v>46</v>
      </c>
      <c r="D224" s="58" t="s">
        <v>151</v>
      </c>
      <c r="E224" s="59" t="s">
        <v>207</v>
      </c>
      <c r="F224" s="437">
        <f>ROUND(288.1,15)</f>
        <v>288.10000000000002</v>
      </c>
      <c r="G224" s="437">
        <f t="shared" si="38"/>
        <v>8.4155723485000102</v>
      </c>
      <c r="H224" s="439">
        <f t="shared" si="39"/>
        <v>2424.52639360285</v>
      </c>
      <c r="I224" s="520">
        <v>10.1</v>
      </c>
    </row>
    <row r="225" spans="1:9" ht="26.1" customHeight="1" thickBot="1">
      <c r="A225" s="92">
        <v>92772</v>
      </c>
      <c r="B225" s="93" t="s">
        <v>45</v>
      </c>
      <c r="C225" s="58" t="s">
        <v>46</v>
      </c>
      <c r="D225" s="58" t="s">
        <v>151</v>
      </c>
      <c r="E225" s="59" t="s">
        <v>208</v>
      </c>
      <c r="F225" s="437">
        <f>ROUND(1.7,15)</f>
        <v>1.7</v>
      </c>
      <c r="G225" s="437">
        <f t="shared" si="38"/>
        <v>7.140738121450009</v>
      </c>
      <c r="H225" s="439">
        <f t="shared" si="39"/>
        <v>12.139254806465001</v>
      </c>
      <c r="I225" s="520">
        <v>8.57</v>
      </c>
    </row>
    <row r="226" spans="1:9" ht="26.1" customHeight="1" thickBot="1">
      <c r="A226" s="96">
        <v>92768</v>
      </c>
      <c r="B226" s="97" t="s">
        <v>45</v>
      </c>
      <c r="C226" s="60" t="s">
        <v>46</v>
      </c>
      <c r="D226" s="60" t="s">
        <v>151</v>
      </c>
      <c r="E226" s="61" t="s">
        <v>209</v>
      </c>
      <c r="F226" s="442">
        <f>ROUND(985.9,15)</f>
        <v>985.9</v>
      </c>
      <c r="G226" s="437">
        <f t="shared" si="38"/>
        <v>10.165344817000012</v>
      </c>
      <c r="H226" s="443">
        <f t="shared" si="39"/>
        <v>10022.0134550803</v>
      </c>
      <c r="I226" s="520">
        <v>12.2</v>
      </c>
    </row>
    <row r="227" spans="1:9" ht="15.75" thickTop="1" thickBot="1">
      <c r="A227" s="75"/>
      <c r="B227" s="76"/>
      <c r="C227" s="76"/>
      <c r="D227" s="77"/>
      <c r="E227" s="411" t="s">
        <v>214</v>
      </c>
      <c r="F227" s="412"/>
      <c r="G227" s="413">
        <f>H220+H221+H222+H223+H224+H225+H226</f>
        <v>93865.043434484571</v>
      </c>
      <c r="H227" s="414">
        <f>ROUND(G227,15)</f>
        <v>93865.0434344846</v>
      </c>
      <c r="I227" s="520"/>
    </row>
    <row r="228" spans="1:9" ht="15.75" thickTop="1" thickBot="1">
      <c r="A228" s="272" t="s">
        <v>216</v>
      </c>
      <c r="B228" s="273"/>
      <c r="C228" s="273" t="s">
        <v>38</v>
      </c>
      <c r="D228" s="274"/>
      <c r="E228" s="275" t="s">
        <v>217</v>
      </c>
      <c r="F228" s="276"/>
      <c r="G228" s="277">
        <f>G236</f>
        <v>13883.406922473701</v>
      </c>
      <c r="H228" s="278">
        <f>ROUND(G228,15)</f>
        <v>13883.4069224737</v>
      </c>
      <c r="I228" s="520"/>
    </row>
    <row r="229" spans="1:9" ht="36" customHeight="1" thickTop="1" thickBot="1">
      <c r="A229" s="90" t="s">
        <v>198</v>
      </c>
      <c r="B229" s="91" t="s">
        <v>148</v>
      </c>
      <c r="C229" s="54" t="s">
        <v>46</v>
      </c>
      <c r="D229" s="54" t="s">
        <v>76</v>
      </c>
      <c r="E229" s="55" t="s">
        <v>199</v>
      </c>
      <c r="F229" s="436">
        <f>ROUND(10.04,15)</f>
        <v>10.039999999999999</v>
      </c>
      <c r="G229" s="437">
        <f t="shared" ref="G229:G235" si="40">I229*(100%-$I$14)</f>
        <v>313.97583884770035</v>
      </c>
      <c r="H229" s="438">
        <f t="shared" ref="H229:H235" si="41">ROUND(F229*G229,15)</f>
        <v>3152.3174220309102</v>
      </c>
      <c r="I229" s="520">
        <v>376.82</v>
      </c>
    </row>
    <row r="230" spans="1:9" ht="26.1" customHeight="1" thickBot="1">
      <c r="A230" s="92">
        <v>92510</v>
      </c>
      <c r="B230" s="93" t="s">
        <v>45</v>
      </c>
      <c r="C230" s="58" t="s">
        <v>46</v>
      </c>
      <c r="D230" s="58" t="s">
        <v>49</v>
      </c>
      <c r="E230" s="59" t="s">
        <v>218</v>
      </c>
      <c r="F230" s="437">
        <f>ROUND(98.53,15)</f>
        <v>98.53</v>
      </c>
      <c r="G230" s="437">
        <f t="shared" si="40"/>
        <v>35.687026107550039</v>
      </c>
      <c r="H230" s="439">
        <f t="shared" si="41"/>
        <v>3516.2426823769101</v>
      </c>
      <c r="I230" s="520">
        <v>42.83</v>
      </c>
    </row>
    <row r="231" spans="1:9" ht="26.1" customHeight="1" thickBot="1">
      <c r="A231" s="92">
        <v>92916</v>
      </c>
      <c r="B231" s="93" t="s">
        <v>45</v>
      </c>
      <c r="C231" s="58" t="s">
        <v>46</v>
      </c>
      <c r="D231" s="58" t="s">
        <v>151</v>
      </c>
      <c r="E231" s="59" t="s">
        <v>219</v>
      </c>
      <c r="F231" s="437">
        <f>ROUND(360.1,15)</f>
        <v>360.1</v>
      </c>
      <c r="G231" s="437">
        <f t="shared" si="40"/>
        <v>11.465175793600013</v>
      </c>
      <c r="H231" s="439">
        <f t="shared" si="41"/>
        <v>4128.6098032753698</v>
      </c>
      <c r="I231" s="520">
        <v>13.76</v>
      </c>
    </row>
    <row r="232" spans="1:9" ht="26.1" customHeight="1" thickBot="1">
      <c r="A232" s="92">
        <v>92917</v>
      </c>
      <c r="B232" s="93" t="s">
        <v>45</v>
      </c>
      <c r="C232" s="58" t="s">
        <v>46</v>
      </c>
      <c r="D232" s="58" t="s">
        <v>151</v>
      </c>
      <c r="E232" s="59" t="s">
        <v>220</v>
      </c>
      <c r="F232" s="437">
        <f>ROUND(152.4,15)</f>
        <v>152.4</v>
      </c>
      <c r="G232" s="437">
        <f t="shared" si="40"/>
        <v>10.590289559350014</v>
      </c>
      <c r="H232" s="439">
        <f t="shared" si="41"/>
        <v>1613.9601288449401</v>
      </c>
      <c r="I232" s="520">
        <v>12.71</v>
      </c>
    </row>
    <row r="233" spans="1:9" ht="26.1" customHeight="1" thickBot="1">
      <c r="A233" s="92">
        <v>92919</v>
      </c>
      <c r="B233" s="93" t="s">
        <v>45</v>
      </c>
      <c r="C233" s="58" t="s">
        <v>46</v>
      </c>
      <c r="D233" s="58" t="s">
        <v>151</v>
      </c>
      <c r="E233" s="59" t="s">
        <v>221</v>
      </c>
      <c r="F233" s="437">
        <f>ROUND(76.3,15)</f>
        <v>76.3</v>
      </c>
      <c r="G233" s="437">
        <f t="shared" si="40"/>
        <v>9.3654488314000108</v>
      </c>
      <c r="H233" s="439">
        <f t="shared" si="41"/>
        <v>714.58374583582099</v>
      </c>
      <c r="I233" s="520">
        <v>11.24</v>
      </c>
    </row>
    <row r="234" spans="1:9" ht="26.1" customHeight="1" thickBot="1">
      <c r="A234" s="92">
        <v>92921</v>
      </c>
      <c r="B234" s="93" t="s">
        <v>45</v>
      </c>
      <c r="C234" s="58" t="s">
        <v>46</v>
      </c>
      <c r="D234" s="58" t="s">
        <v>151</v>
      </c>
      <c r="E234" s="59" t="s">
        <v>222</v>
      </c>
      <c r="F234" s="437">
        <f>ROUND(13.4,15)</f>
        <v>13.4</v>
      </c>
      <c r="G234" s="437">
        <f t="shared" si="40"/>
        <v>7.8489793587000092</v>
      </c>
      <c r="H234" s="439">
        <f t="shared" si="41"/>
        <v>105.17632340658</v>
      </c>
      <c r="I234" s="520">
        <v>9.42</v>
      </c>
    </row>
    <row r="235" spans="1:9" ht="26.1" customHeight="1" thickBot="1">
      <c r="A235" s="96">
        <v>92915</v>
      </c>
      <c r="B235" s="97" t="s">
        <v>45</v>
      </c>
      <c r="C235" s="60" t="s">
        <v>46</v>
      </c>
      <c r="D235" s="60" t="s">
        <v>151</v>
      </c>
      <c r="E235" s="61" t="s">
        <v>223</v>
      </c>
      <c r="F235" s="442">
        <f>ROUND(52.7,15)</f>
        <v>52.7</v>
      </c>
      <c r="G235" s="437">
        <f t="shared" si="40"/>
        <v>12.381723277100013</v>
      </c>
      <c r="H235" s="443">
        <f t="shared" si="41"/>
        <v>652.516816703171</v>
      </c>
      <c r="I235" s="520">
        <v>14.86</v>
      </c>
    </row>
    <row r="236" spans="1:9" ht="15.75" thickTop="1" thickBot="1">
      <c r="A236" s="75"/>
      <c r="B236" s="76"/>
      <c r="C236" s="76"/>
      <c r="D236" s="77"/>
      <c r="E236" s="411" t="s">
        <v>216</v>
      </c>
      <c r="F236" s="412"/>
      <c r="G236" s="413">
        <f>H229+H230+H231+H232+H233+H234+H235</f>
        <v>13883.406922473701</v>
      </c>
      <c r="H236" s="414">
        <f>ROUND(G236,15)</f>
        <v>13883.4069224737</v>
      </c>
      <c r="I236" s="520"/>
    </row>
    <row r="237" spans="1:9" ht="15.75" thickTop="1" thickBot="1">
      <c r="A237" s="272" t="s">
        <v>224</v>
      </c>
      <c r="B237" s="273"/>
      <c r="C237" s="273" t="s">
        <v>38</v>
      </c>
      <c r="D237" s="274"/>
      <c r="E237" s="275" t="s">
        <v>225</v>
      </c>
      <c r="F237" s="276"/>
      <c r="G237" s="277">
        <f>G247</f>
        <v>46766.368906240939</v>
      </c>
      <c r="H237" s="278">
        <f>ROUND(G237,15)</f>
        <v>46766.368906240903</v>
      </c>
      <c r="I237" s="520"/>
    </row>
    <row r="238" spans="1:9" ht="26.1" customHeight="1" thickTop="1" thickBot="1">
      <c r="A238" s="90">
        <v>83338</v>
      </c>
      <c r="B238" s="91" t="s">
        <v>45</v>
      </c>
      <c r="C238" s="54" t="s">
        <v>46</v>
      </c>
      <c r="D238" s="54" t="s">
        <v>76</v>
      </c>
      <c r="E238" s="55" t="s">
        <v>226</v>
      </c>
      <c r="F238" s="436">
        <f>ROUND(132.16,15)</f>
        <v>132.16</v>
      </c>
      <c r="G238" s="437">
        <f t="shared" ref="G238:G246" si="42">I238*(100%-$I$14)</f>
        <v>1.8914207159500023</v>
      </c>
      <c r="H238" s="438">
        <f t="shared" ref="H238:H246" si="43">ROUND(F238*G238,15)</f>
        <v>249.97016181995201</v>
      </c>
      <c r="I238" s="520">
        <v>2.27</v>
      </c>
    </row>
    <row r="239" spans="1:9" ht="15" thickBot="1">
      <c r="A239" s="94">
        <v>93382</v>
      </c>
      <c r="B239" s="95" t="s">
        <v>45</v>
      </c>
      <c r="C239" s="74" t="s">
        <v>46</v>
      </c>
      <c r="D239" s="74" t="s">
        <v>76</v>
      </c>
      <c r="E239" s="78" t="s">
        <v>166</v>
      </c>
      <c r="F239" s="440">
        <f>ROUND(13.84,15)</f>
        <v>13.84</v>
      </c>
      <c r="G239" s="440">
        <f t="shared" si="42"/>
        <v>20.289028384750026</v>
      </c>
      <c r="H239" s="441">
        <f t="shared" si="43"/>
        <v>280.80015284493999</v>
      </c>
      <c r="I239" s="520">
        <v>24.35</v>
      </c>
    </row>
    <row r="240" spans="1:9" ht="15" thickBot="1">
      <c r="A240" s="94" t="s">
        <v>164</v>
      </c>
      <c r="B240" s="95" t="s">
        <v>57</v>
      </c>
      <c r="C240" s="74" t="s">
        <v>46</v>
      </c>
      <c r="D240" s="74" t="s">
        <v>76</v>
      </c>
      <c r="E240" s="78" t="s">
        <v>165</v>
      </c>
      <c r="F240" s="440">
        <f>ROUND(5.84,15)</f>
        <v>5.84</v>
      </c>
      <c r="G240" s="440">
        <f t="shared" si="42"/>
        <v>137.51545152440016</v>
      </c>
      <c r="H240" s="441">
        <f t="shared" si="43"/>
        <v>803.09023690249705</v>
      </c>
      <c r="I240" s="520">
        <v>165.04</v>
      </c>
    </row>
    <row r="241" spans="1:9" ht="36" customHeight="1" thickBot="1">
      <c r="A241" s="92" t="s">
        <v>198</v>
      </c>
      <c r="B241" s="93" t="s">
        <v>148</v>
      </c>
      <c r="C241" s="58" t="s">
        <v>46</v>
      </c>
      <c r="D241" s="58" t="s">
        <v>76</v>
      </c>
      <c r="E241" s="59" t="s">
        <v>199</v>
      </c>
      <c r="F241" s="437">
        <f>ROUND(24.93,15)</f>
        <v>24.93</v>
      </c>
      <c r="G241" s="437">
        <f t="shared" si="42"/>
        <v>313.97583884770035</v>
      </c>
      <c r="H241" s="439">
        <f t="shared" si="43"/>
        <v>7827.4176624731699</v>
      </c>
      <c r="I241" s="520">
        <v>376.82</v>
      </c>
    </row>
    <row r="242" spans="1:9" ht="26.1" customHeight="1" thickBot="1">
      <c r="A242" s="92">
        <v>92510</v>
      </c>
      <c r="B242" s="93" t="s">
        <v>45</v>
      </c>
      <c r="C242" s="58" t="s">
        <v>46</v>
      </c>
      <c r="D242" s="58" t="s">
        <v>49</v>
      </c>
      <c r="E242" s="59" t="s">
        <v>218</v>
      </c>
      <c r="F242" s="437">
        <f>ROUND(213.26,15)</f>
        <v>213.26</v>
      </c>
      <c r="G242" s="437">
        <f t="shared" si="42"/>
        <v>35.687026107550039</v>
      </c>
      <c r="H242" s="439">
        <f t="shared" si="43"/>
        <v>7610.6151876961203</v>
      </c>
      <c r="I242" s="520">
        <v>42.83</v>
      </c>
    </row>
    <row r="243" spans="1:9" ht="26.1" customHeight="1" thickBot="1">
      <c r="A243" s="92">
        <v>92916</v>
      </c>
      <c r="B243" s="93" t="s">
        <v>45</v>
      </c>
      <c r="C243" s="58" t="s">
        <v>46</v>
      </c>
      <c r="D243" s="58" t="s">
        <v>151</v>
      </c>
      <c r="E243" s="59" t="s">
        <v>219</v>
      </c>
      <c r="F243" s="437">
        <f>ROUND(441.6,15)</f>
        <v>441.6</v>
      </c>
      <c r="G243" s="437">
        <f t="shared" si="42"/>
        <v>11.465175793600013</v>
      </c>
      <c r="H243" s="439">
        <f t="shared" si="43"/>
        <v>5063.0216304537698</v>
      </c>
      <c r="I243" s="520">
        <v>13.76</v>
      </c>
    </row>
    <row r="244" spans="1:9" ht="26.1" customHeight="1" thickBot="1">
      <c r="A244" s="92">
        <v>92917</v>
      </c>
      <c r="B244" s="93" t="s">
        <v>45</v>
      </c>
      <c r="C244" s="58" t="s">
        <v>46</v>
      </c>
      <c r="D244" s="58" t="s">
        <v>151</v>
      </c>
      <c r="E244" s="59" t="s">
        <v>220</v>
      </c>
      <c r="F244" s="437">
        <f>ROUND(1240.3,15)</f>
        <v>1240.3</v>
      </c>
      <c r="G244" s="437">
        <f t="shared" si="42"/>
        <v>10.590289559350014</v>
      </c>
      <c r="H244" s="439">
        <f t="shared" si="43"/>
        <v>13135.1361404618</v>
      </c>
      <c r="I244" s="520">
        <v>12.71</v>
      </c>
    </row>
    <row r="245" spans="1:9" ht="26.1" customHeight="1" thickBot="1">
      <c r="A245" s="92">
        <v>92919</v>
      </c>
      <c r="B245" s="93" t="s">
        <v>45</v>
      </c>
      <c r="C245" s="58" t="s">
        <v>46</v>
      </c>
      <c r="D245" s="58" t="s">
        <v>151</v>
      </c>
      <c r="E245" s="59" t="s">
        <v>221</v>
      </c>
      <c r="F245" s="437">
        <f>ROUND(504.7,15)</f>
        <v>504.7</v>
      </c>
      <c r="G245" s="437">
        <f t="shared" si="42"/>
        <v>9.3654488314000108</v>
      </c>
      <c r="H245" s="439">
        <f t="shared" si="43"/>
        <v>4726.7420252075899</v>
      </c>
      <c r="I245" s="520">
        <v>11.24</v>
      </c>
    </row>
    <row r="246" spans="1:9" ht="26.1" customHeight="1" thickBot="1">
      <c r="A246" s="96">
        <v>92921</v>
      </c>
      <c r="B246" s="97" t="s">
        <v>45</v>
      </c>
      <c r="C246" s="60" t="s">
        <v>46</v>
      </c>
      <c r="D246" s="60" t="s">
        <v>151</v>
      </c>
      <c r="E246" s="61" t="s">
        <v>222</v>
      </c>
      <c r="F246" s="442">
        <f>ROUND(900.7,15)</f>
        <v>900.7</v>
      </c>
      <c r="G246" s="437">
        <f t="shared" si="42"/>
        <v>7.8489793587000092</v>
      </c>
      <c r="H246" s="443">
        <f t="shared" si="43"/>
        <v>7069.5757083811004</v>
      </c>
      <c r="I246" s="520">
        <v>9.42</v>
      </c>
    </row>
    <row r="247" spans="1:9" ht="15.75" thickTop="1" thickBot="1">
      <c r="A247" s="75"/>
      <c r="B247" s="76"/>
      <c r="C247" s="76"/>
      <c r="D247" s="77"/>
      <c r="E247" s="411" t="s">
        <v>224</v>
      </c>
      <c r="F247" s="412"/>
      <c r="G247" s="413">
        <f>H238+H239+H240+H241+H242+H243+H244+H245+H246</f>
        <v>46766.368906240939</v>
      </c>
      <c r="H247" s="414">
        <f>ROUND(G247,15)</f>
        <v>46766.368906240903</v>
      </c>
      <c r="I247" s="520"/>
    </row>
    <row r="248" spans="1:9" ht="15.75" thickTop="1" thickBot="1">
      <c r="A248" s="272" t="s">
        <v>227</v>
      </c>
      <c r="B248" s="273"/>
      <c r="C248" s="273" t="s">
        <v>38</v>
      </c>
      <c r="D248" s="274"/>
      <c r="E248" s="275" t="s">
        <v>228</v>
      </c>
      <c r="F248" s="276"/>
      <c r="G248" s="277">
        <f>G255</f>
        <v>5087.4556198488926</v>
      </c>
      <c r="H248" s="278">
        <f>ROUND(G248,15)</f>
        <v>5087.4556198488899</v>
      </c>
      <c r="I248" s="520"/>
    </row>
    <row r="249" spans="1:9" ht="26.1" customHeight="1" thickTop="1" thickBot="1">
      <c r="A249" s="90">
        <v>95941</v>
      </c>
      <c r="B249" s="91" t="s">
        <v>45</v>
      </c>
      <c r="C249" s="54" t="s">
        <v>46</v>
      </c>
      <c r="D249" s="54" t="s">
        <v>49</v>
      </c>
      <c r="E249" s="55" t="s">
        <v>229</v>
      </c>
      <c r="F249" s="436">
        <f>ROUND(21.6,15)</f>
        <v>21.6</v>
      </c>
      <c r="G249" s="437">
        <f t="shared" ref="G249:G254" si="44">I249*(100%-$I$14)</f>
        <v>99.312085962150121</v>
      </c>
      <c r="H249" s="438">
        <f t="shared" ref="H249:H254" si="45">ROUND(F249*G249,15)</f>
        <v>2145.14105678244</v>
      </c>
      <c r="I249" s="520">
        <v>119.19</v>
      </c>
    </row>
    <row r="250" spans="1:9" ht="36" customHeight="1" thickBot="1">
      <c r="A250" s="92" t="s">
        <v>198</v>
      </c>
      <c r="B250" s="93" t="s">
        <v>148</v>
      </c>
      <c r="C250" s="58" t="s">
        <v>46</v>
      </c>
      <c r="D250" s="58" t="s">
        <v>76</v>
      </c>
      <c r="E250" s="59" t="s">
        <v>199</v>
      </c>
      <c r="F250" s="437">
        <f>ROUND(2.68,15)</f>
        <v>2.68</v>
      </c>
      <c r="G250" s="437">
        <f t="shared" si="44"/>
        <v>313.97583884770035</v>
      </c>
      <c r="H250" s="439">
        <f t="shared" si="45"/>
        <v>841.45524811183702</v>
      </c>
      <c r="I250" s="520">
        <v>376.82</v>
      </c>
    </row>
    <row r="251" spans="1:9" ht="26.1" customHeight="1" thickBot="1">
      <c r="A251" s="92">
        <v>95944</v>
      </c>
      <c r="B251" s="93" t="s">
        <v>45</v>
      </c>
      <c r="C251" s="58" t="s">
        <v>46</v>
      </c>
      <c r="D251" s="58" t="s">
        <v>151</v>
      </c>
      <c r="E251" s="59" t="s">
        <v>230</v>
      </c>
      <c r="F251" s="437">
        <f>ROUND(23.7,15)</f>
        <v>23.7</v>
      </c>
      <c r="G251" s="437">
        <f t="shared" si="44"/>
        <v>14.739749984650018</v>
      </c>
      <c r="H251" s="439">
        <f t="shared" si="45"/>
        <v>349.33207463620499</v>
      </c>
      <c r="I251" s="520">
        <v>17.690000000000001</v>
      </c>
    </row>
    <row r="252" spans="1:9" ht="26.1" customHeight="1" thickBot="1">
      <c r="A252" s="96">
        <v>95945</v>
      </c>
      <c r="B252" s="97" t="s">
        <v>45</v>
      </c>
      <c r="C252" s="60" t="s">
        <v>46</v>
      </c>
      <c r="D252" s="60" t="s">
        <v>151</v>
      </c>
      <c r="E252" s="61" t="s">
        <v>231</v>
      </c>
      <c r="F252" s="442">
        <f>ROUND(10.5,15)</f>
        <v>10.5</v>
      </c>
      <c r="G252" s="442">
        <f t="shared" si="44"/>
        <v>12.081762282500014</v>
      </c>
      <c r="H252" s="443">
        <f t="shared" si="45"/>
        <v>126.85850396625</v>
      </c>
      <c r="I252" s="520">
        <v>14.5</v>
      </c>
    </row>
    <row r="253" spans="1:9" ht="26.1" customHeight="1" thickTop="1" thickBot="1">
      <c r="A253" s="90">
        <v>95946</v>
      </c>
      <c r="B253" s="91" t="s">
        <v>45</v>
      </c>
      <c r="C253" s="54" t="s">
        <v>46</v>
      </c>
      <c r="D253" s="54" t="s">
        <v>151</v>
      </c>
      <c r="E253" s="55" t="s">
        <v>232</v>
      </c>
      <c r="F253" s="436">
        <f>ROUND(162.7,15)</f>
        <v>162.69999999999999</v>
      </c>
      <c r="G253" s="436">
        <f t="shared" si="44"/>
        <v>9.698738825400012</v>
      </c>
      <c r="H253" s="438">
        <f t="shared" si="45"/>
        <v>1577.9848068925801</v>
      </c>
      <c r="I253" s="520">
        <v>11.64</v>
      </c>
    </row>
    <row r="254" spans="1:9" ht="26.1" customHeight="1" thickBot="1">
      <c r="A254" s="96">
        <v>95943</v>
      </c>
      <c r="B254" s="97" t="s">
        <v>45</v>
      </c>
      <c r="C254" s="60" t="s">
        <v>46</v>
      </c>
      <c r="D254" s="60" t="s">
        <v>151</v>
      </c>
      <c r="E254" s="61" t="s">
        <v>233</v>
      </c>
      <c r="F254" s="442">
        <f>ROUND(2.9,15)</f>
        <v>2.9</v>
      </c>
      <c r="G254" s="437">
        <f t="shared" si="44"/>
        <v>16.097906710200018</v>
      </c>
      <c r="H254" s="443">
        <f t="shared" si="45"/>
        <v>46.68392945958</v>
      </c>
      <c r="I254" s="520">
        <v>19.32</v>
      </c>
    </row>
    <row r="255" spans="1:9" ht="15.75" thickTop="1" thickBot="1">
      <c r="A255" s="85"/>
      <c r="B255" s="86"/>
      <c r="C255" s="86"/>
      <c r="D255" s="141"/>
      <c r="E255" s="394" t="s">
        <v>227</v>
      </c>
      <c r="F255" s="395"/>
      <c r="G255" s="396">
        <f>H249+H250+H251+H252+H253+H254</f>
        <v>5087.4556198488926</v>
      </c>
      <c r="H255" s="397">
        <f>ROUND(G255,15)</f>
        <v>5087.4556198488899</v>
      </c>
      <c r="I255" s="520"/>
    </row>
    <row r="256" spans="1:9" ht="15" thickBot="1">
      <c r="A256" s="75"/>
      <c r="B256" s="76"/>
      <c r="C256" s="76"/>
      <c r="D256" s="77"/>
      <c r="E256" s="398" t="s">
        <v>180</v>
      </c>
      <c r="F256" s="399"/>
      <c r="G256" s="400">
        <f>H166+H179+H189+H199+H209+H218+H227+H236+H247+H255</f>
        <v>514501.16280587274</v>
      </c>
      <c r="H256" s="401">
        <f>ROUND(G256,15)</f>
        <v>514501.16280587303</v>
      </c>
      <c r="I256" s="520"/>
    </row>
    <row r="257" spans="1:9" ht="15.75" thickTop="1" thickBot="1">
      <c r="A257" s="227" t="s">
        <v>234</v>
      </c>
      <c r="B257" s="228"/>
      <c r="C257" s="228" t="s">
        <v>38</v>
      </c>
      <c r="D257" s="229"/>
      <c r="E257" s="236" t="s">
        <v>235</v>
      </c>
      <c r="F257" s="231"/>
      <c r="G257" s="232">
        <f>G259</f>
        <v>146560.69199406501</v>
      </c>
      <c r="H257" s="233">
        <f>ROUND(G257,15)</f>
        <v>146560.69199406501</v>
      </c>
      <c r="I257" s="520"/>
    </row>
    <row r="258" spans="1:9" ht="15.75" thickTop="1" thickBot="1">
      <c r="A258" s="109" t="s">
        <v>236</v>
      </c>
      <c r="B258" s="110" t="s">
        <v>237</v>
      </c>
      <c r="C258" s="89" t="s">
        <v>46</v>
      </c>
      <c r="D258" s="89" t="s">
        <v>151</v>
      </c>
      <c r="E258" s="108" t="s">
        <v>238</v>
      </c>
      <c r="F258" s="513">
        <f>ROUND(17589.57,15)</f>
        <v>17589.57</v>
      </c>
      <c r="G258" s="440">
        <f t="shared" ref="G258" si="46">I258*(100%-$I$14)</f>
        <v>8.3322498500000091</v>
      </c>
      <c r="H258" s="514">
        <f>ROUND(F258*G258,15)</f>
        <v>146560.69199406501</v>
      </c>
      <c r="I258" s="521">
        <v>10</v>
      </c>
    </row>
    <row r="259" spans="1:9" ht="15.75" thickTop="1" thickBot="1">
      <c r="A259" s="75"/>
      <c r="B259" s="76"/>
      <c r="C259" s="76"/>
      <c r="D259" s="77"/>
      <c r="E259" s="411" t="s">
        <v>234</v>
      </c>
      <c r="F259" s="412"/>
      <c r="G259" s="413">
        <f>H258</f>
        <v>146560.69199406501</v>
      </c>
      <c r="H259" s="414">
        <f>ROUND(G259,15)</f>
        <v>146560.69199406501</v>
      </c>
      <c r="I259" s="520"/>
    </row>
    <row r="260" spans="1:9" ht="15.75" thickTop="1" thickBot="1">
      <c r="A260" s="227" t="s">
        <v>239</v>
      </c>
      <c r="B260" s="228"/>
      <c r="C260" s="228" t="s">
        <v>38</v>
      </c>
      <c r="D260" s="229"/>
      <c r="E260" s="236" t="s">
        <v>240</v>
      </c>
      <c r="F260" s="231"/>
      <c r="G260" s="232">
        <f>G263</f>
        <v>2682.1512267149997</v>
      </c>
      <c r="H260" s="233">
        <f>ROUND(G260,15)</f>
        <v>2682.1512267150001</v>
      </c>
      <c r="I260" s="520"/>
    </row>
    <row r="261" spans="1:9" ht="15.75" thickTop="1" thickBot="1">
      <c r="A261" s="100" t="s">
        <v>241</v>
      </c>
      <c r="B261" s="101" t="s">
        <v>57</v>
      </c>
      <c r="C261" s="64" t="s">
        <v>46</v>
      </c>
      <c r="D261" s="64" t="s">
        <v>47</v>
      </c>
      <c r="E261" s="65" t="s">
        <v>242</v>
      </c>
      <c r="F261" s="446">
        <f>ROUND(348,15)</f>
        <v>348</v>
      </c>
      <c r="G261" s="440">
        <f t="shared" ref="G261:G262" si="47">I261*(100%-$I$14)</f>
        <v>6.6657998800000078</v>
      </c>
      <c r="H261" s="447">
        <f>ROUND(F261*G261,15)</f>
        <v>2319.6983582399998</v>
      </c>
      <c r="I261" s="521">
        <v>8</v>
      </c>
    </row>
    <row r="262" spans="1:9" ht="15" thickBot="1">
      <c r="A262" s="102" t="s">
        <v>243</v>
      </c>
      <c r="B262" s="103" t="s">
        <v>57</v>
      </c>
      <c r="C262" s="66" t="s">
        <v>46</v>
      </c>
      <c r="D262" s="66" t="s">
        <v>47</v>
      </c>
      <c r="E262" s="67" t="s">
        <v>244</v>
      </c>
      <c r="F262" s="450">
        <f>ROUND(87,15)</f>
        <v>87</v>
      </c>
      <c r="G262" s="440">
        <f t="shared" si="47"/>
        <v>4.1661249250000045</v>
      </c>
      <c r="H262" s="451">
        <f>ROUND(F262*G262,15)</f>
        <v>362.452868475</v>
      </c>
      <c r="I262" s="521">
        <v>5</v>
      </c>
    </row>
    <row r="263" spans="1:9" ht="15.75" thickTop="1" thickBot="1">
      <c r="A263" s="85"/>
      <c r="B263" s="86"/>
      <c r="C263" s="86"/>
      <c r="D263" s="141"/>
      <c r="E263" s="394" t="s">
        <v>239</v>
      </c>
      <c r="F263" s="395"/>
      <c r="G263" s="396">
        <f>H261+H262</f>
        <v>2682.1512267149997</v>
      </c>
      <c r="H263" s="397">
        <f>ROUND(G263,15)</f>
        <v>2682.1512267150001</v>
      </c>
      <c r="I263" s="520"/>
    </row>
    <row r="264" spans="1:9" ht="15" thickBot="1">
      <c r="A264" s="75"/>
      <c r="B264" s="76"/>
      <c r="C264" s="76"/>
      <c r="D264" s="77"/>
      <c r="E264" s="398" t="s">
        <v>142</v>
      </c>
      <c r="F264" s="399"/>
      <c r="G264" s="400">
        <f>H134+H156+H256+H259+H263</f>
        <v>903955.52314439369</v>
      </c>
      <c r="H264" s="401">
        <f>ROUND(G264,15)</f>
        <v>903955.52314439404</v>
      </c>
      <c r="I264" s="520"/>
    </row>
    <row r="265" spans="1:9" ht="15.75" thickTop="1" thickBot="1">
      <c r="A265" s="213" t="s">
        <v>245</v>
      </c>
      <c r="B265" s="214"/>
      <c r="C265" s="214" t="s">
        <v>38</v>
      </c>
      <c r="D265" s="215"/>
      <c r="E265" s="234" t="s">
        <v>246</v>
      </c>
      <c r="F265" s="217"/>
      <c r="G265" s="218">
        <f>G387</f>
        <v>495081.60319316544</v>
      </c>
      <c r="H265" s="219">
        <f>ROUND(G265,15)</f>
        <v>495081.60319316498</v>
      </c>
      <c r="I265" s="520"/>
    </row>
    <row r="266" spans="1:9" ht="15" thickBot="1">
      <c r="A266" s="258" t="s">
        <v>247</v>
      </c>
      <c r="B266" s="259"/>
      <c r="C266" s="259" t="s">
        <v>38</v>
      </c>
      <c r="D266" s="260"/>
      <c r="E266" s="261" t="s">
        <v>145</v>
      </c>
      <c r="F266" s="262"/>
      <c r="G266" s="263">
        <f>G279</f>
        <v>110417.59185872496</v>
      </c>
      <c r="H266" s="264">
        <f>ROUND(G266,15)</f>
        <v>110417.59185872501</v>
      </c>
      <c r="I266" s="520"/>
    </row>
    <row r="267" spans="1:9" ht="15" thickBot="1">
      <c r="A267" s="265" t="s">
        <v>248</v>
      </c>
      <c r="B267" s="266"/>
      <c r="C267" s="266" t="s">
        <v>38</v>
      </c>
      <c r="D267" s="267"/>
      <c r="E267" s="268" t="s">
        <v>147</v>
      </c>
      <c r="F267" s="269"/>
      <c r="G267" s="270">
        <f>G270</f>
        <v>93742.276898419688</v>
      </c>
      <c r="H267" s="271">
        <f>ROUND(G267,15)</f>
        <v>93742.276898419703</v>
      </c>
      <c r="I267" s="520"/>
    </row>
    <row r="268" spans="1:9" ht="15" customHeight="1" thickTop="1" thickBot="1">
      <c r="A268" s="100" t="s">
        <v>1497</v>
      </c>
      <c r="B268" s="101" t="s">
        <v>45</v>
      </c>
      <c r="C268" s="64" t="s">
        <v>46</v>
      </c>
      <c r="D268" s="64" t="s">
        <v>68</v>
      </c>
      <c r="E268" s="494" t="s">
        <v>1496</v>
      </c>
      <c r="F268" s="446">
        <f>ROUND(946,15)</f>
        <v>946</v>
      </c>
      <c r="G268" s="440">
        <f t="shared" ref="G268:G269" si="48">I268*(100%-$I$14)</f>
        <v>78.55645158580009</v>
      </c>
      <c r="H268" s="447">
        <f>ROUND(F268*G268,15)</f>
        <v>74314.403200166897</v>
      </c>
      <c r="I268" s="521">
        <v>94.28</v>
      </c>
    </row>
    <row r="269" spans="1:9" ht="15" customHeight="1" thickBot="1">
      <c r="A269" s="673" t="s">
        <v>1498</v>
      </c>
      <c r="B269" s="674" t="s">
        <v>45</v>
      </c>
      <c r="C269" s="167" t="s">
        <v>46</v>
      </c>
      <c r="D269" s="167" t="s">
        <v>68</v>
      </c>
      <c r="E269" s="406" t="s">
        <v>1499</v>
      </c>
      <c r="F269" s="448">
        <f>ROUND(176,15)</f>
        <v>176</v>
      </c>
      <c r="G269" s="448">
        <f t="shared" si="48"/>
        <v>110.38564601280012</v>
      </c>
      <c r="H269" s="449">
        <f>ROUND(F269*G269,15)</f>
        <v>19427.873698252799</v>
      </c>
      <c r="I269" s="521">
        <v>132.47999999999999</v>
      </c>
    </row>
    <row r="270" spans="1:9" ht="15.75" thickTop="1" thickBot="1">
      <c r="A270" s="51"/>
      <c r="B270" s="52"/>
      <c r="C270" s="52"/>
      <c r="D270" s="53"/>
      <c r="E270" s="386" t="s">
        <v>248</v>
      </c>
      <c r="F270" s="387"/>
      <c r="G270" s="388">
        <f>H268+H269</f>
        <v>93742.276898419688</v>
      </c>
      <c r="H270" s="389">
        <f>ROUND(G270,15)</f>
        <v>93742.276898419703</v>
      </c>
      <c r="I270" s="520"/>
    </row>
    <row r="271" spans="1:9" ht="15.75" thickTop="1" thickBot="1">
      <c r="A271" s="272" t="s">
        <v>249</v>
      </c>
      <c r="B271" s="273"/>
      <c r="C271" s="273" t="s">
        <v>38</v>
      </c>
      <c r="D271" s="274"/>
      <c r="E271" s="275" t="s">
        <v>150</v>
      </c>
      <c r="F271" s="276"/>
      <c r="G271" s="277">
        <f>G274</f>
        <v>15873.594211988149</v>
      </c>
      <c r="H271" s="278">
        <f>ROUND(G271,15)</f>
        <v>15873.5942119881</v>
      </c>
      <c r="I271" s="520"/>
    </row>
    <row r="272" spans="1:9" ht="26.1" customHeight="1" thickTop="1" thickBot="1">
      <c r="A272" s="90">
        <v>95583</v>
      </c>
      <c r="B272" s="91" t="s">
        <v>45</v>
      </c>
      <c r="C272" s="54" t="s">
        <v>46</v>
      </c>
      <c r="D272" s="54" t="s">
        <v>151</v>
      </c>
      <c r="E272" s="55" t="s">
        <v>152</v>
      </c>
      <c r="F272" s="436">
        <f>ROUND(246.5,15)</f>
        <v>246.5</v>
      </c>
      <c r="G272" s="437">
        <f t="shared" ref="G272:G273" si="49">I272*(100%-$I$14)</f>
        <v>12.715013271100014</v>
      </c>
      <c r="H272" s="438">
        <f>ROUND(F272*G272,15)</f>
        <v>3134.2507713261498</v>
      </c>
      <c r="I272" s="520">
        <v>15.26</v>
      </c>
    </row>
    <row r="273" spans="1:9" ht="26.1" customHeight="1" thickBot="1">
      <c r="A273" s="96">
        <v>95578</v>
      </c>
      <c r="B273" s="97" t="s">
        <v>45</v>
      </c>
      <c r="C273" s="60" t="s">
        <v>46</v>
      </c>
      <c r="D273" s="60" t="s">
        <v>151</v>
      </c>
      <c r="E273" s="61" t="s">
        <v>153</v>
      </c>
      <c r="F273" s="442">
        <f>ROUND(1644,15)</f>
        <v>1644</v>
      </c>
      <c r="G273" s="437">
        <f t="shared" si="49"/>
        <v>7.7489923605000097</v>
      </c>
      <c r="H273" s="443">
        <f>ROUND(F273*G273,15)</f>
        <v>12739.343440662</v>
      </c>
      <c r="I273" s="520">
        <v>9.3000000000000007</v>
      </c>
    </row>
    <row r="274" spans="1:9" ht="15.75" thickTop="1" thickBot="1">
      <c r="A274" s="75"/>
      <c r="B274" s="76"/>
      <c r="C274" s="76"/>
      <c r="D274" s="77"/>
      <c r="E274" s="411" t="s">
        <v>249</v>
      </c>
      <c r="F274" s="412"/>
      <c r="G274" s="413">
        <f>H272+H273</f>
        <v>15873.594211988149</v>
      </c>
      <c r="H274" s="414">
        <f>ROUND(G274,15)</f>
        <v>15873.5942119881</v>
      </c>
      <c r="I274" s="520"/>
    </row>
    <row r="275" spans="1:9" ht="15.75" thickTop="1" thickBot="1">
      <c r="A275" s="272" t="s">
        <v>250</v>
      </c>
      <c r="B275" s="273"/>
      <c r="C275" s="273" t="s">
        <v>38</v>
      </c>
      <c r="D275" s="274"/>
      <c r="E275" s="275" t="s">
        <v>155</v>
      </c>
      <c r="F275" s="276"/>
      <c r="G275" s="277">
        <f>G278</f>
        <v>801.72074831715099</v>
      </c>
      <c r="H275" s="278">
        <f>ROUND(G275,15)</f>
        <v>801.72074831715099</v>
      </c>
      <c r="I275" s="520"/>
    </row>
    <row r="276" spans="1:9" ht="26.1" customHeight="1" thickTop="1" thickBot="1">
      <c r="A276" s="90">
        <v>95601</v>
      </c>
      <c r="B276" s="91" t="s">
        <v>45</v>
      </c>
      <c r="C276" s="54" t="s">
        <v>46</v>
      </c>
      <c r="D276" s="54" t="s">
        <v>47</v>
      </c>
      <c r="E276" s="55" t="s">
        <v>156</v>
      </c>
      <c r="F276" s="436">
        <f>ROUND(43,15)</f>
        <v>43</v>
      </c>
      <c r="G276" s="437">
        <f t="shared" ref="G276:G277" si="50">I276*(100%-$I$14)</f>
        <v>15.073039978650018</v>
      </c>
      <c r="H276" s="438">
        <f>ROUND(F276*G276,15)</f>
        <v>648.14071908195103</v>
      </c>
      <c r="I276" s="520">
        <v>18.09</v>
      </c>
    </row>
    <row r="277" spans="1:9" ht="26.1" customHeight="1" thickBot="1">
      <c r="A277" s="96">
        <v>95602</v>
      </c>
      <c r="B277" s="97" t="s">
        <v>45</v>
      </c>
      <c r="C277" s="60" t="s">
        <v>46</v>
      </c>
      <c r="D277" s="60" t="s">
        <v>47</v>
      </c>
      <c r="E277" s="61" t="s">
        <v>157</v>
      </c>
      <c r="F277" s="442">
        <f>ROUND(8,15)</f>
        <v>8</v>
      </c>
      <c r="G277" s="437">
        <f t="shared" si="50"/>
        <v>19.197503654400023</v>
      </c>
      <c r="H277" s="443">
        <f>ROUND(F277*G277,15)</f>
        <v>153.58002923519999</v>
      </c>
      <c r="I277" s="520">
        <v>23.04</v>
      </c>
    </row>
    <row r="278" spans="1:9" ht="15.75" thickTop="1" thickBot="1">
      <c r="A278" s="85"/>
      <c r="B278" s="86"/>
      <c r="C278" s="86"/>
      <c r="D278" s="141"/>
      <c r="E278" s="394" t="s">
        <v>250</v>
      </c>
      <c r="F278" s="395"/>
      <c r="G278" s="396">
        <f>H276+H277</f>
        <v>801.72074831715099</v>
      </c>
      <c r="H278" s="397">
        <f>ROUND(G278,15)</f>
        <v>801.72074831715099</v>
      </c>
      <c r="I278" s="520"/>
    </row>
    <row r="279" spans="1:9" ht="15" thickBot="1">
      <c r="A279" s="75"/>
      <c r="B279" s="76"/>
      <c r="C279" s="76"/>
      <c r="D279" s="77"/>
      <c r="E279" s="398" t="s">
        <v>247</v>
      </c>
      <c r="F279" s="399"/>
      <c r="G279" s="400">
        <f>H270+H274+H278</f>
        <v>110417.59185872496</v>
      </c>
      <c r="H279" s="401">
        <f>ROUND(G279,15)</f>
        <v>110417.59185872501</v>
      </c>
      <c r="I279" s="520"/>
    </row>
    <row r="280" spans="1:9" ht="15.75" thickTop="1" thickBot="1">
      <c r="A280" s="279" t="s">
        <v>251</v>
      </c>
      <c r="B280" s="280"/>
      <c r="C280" s="280" t="s">
        <v>38</v>
      </c>
      <c r="D280" s="281"/>
      <c r="E280" s="282" t="s">
        <v>159</v>
      </c>
      <c r="F280" s="283"/>
      <c r="G280" s="284">
        <f>G301</f>
        <v>20699.676319517399</v>
      </c>
      <c r="H280" s="285">
        <f>ROUND(G280,15)</f>
        <v>20699.676319517399</v>
      </c>
      <c r="I280" s="520"/>
    </row>
    <row r="281" spans="1:9" ht="15" thickBot="1">
      <c r="A281" s="265" t="s">
        <v>252</v>
      </c>
      <c r="B281" s="266"/>
      <c r="C281" s="266" t="s">
        <v>38</v>
      </c>
      <c r="D281" s="267"/>
      <c r="E281" s="268" t="s">
        <v>161</v>
      </c>
      <c r="F281" s="269"/>
      <c r="G281" s="270">
        <f>G286</f>
        <v>2606.5693883256504</v>
      </c>
      <c r="H281" s="271">
        <f>ROUND(G281,15)</f>
        <v>2606.5693883256499</v>
      </c>
      <c r="I281" s="520"/>
    </row>
    <row r="282" spans="1:9" ht="26.1" customHeight="1" thickTop="1" thickBot="1">
      <c r="A282" s="90">
        <v>96521</v>
      </c>
      <c r="B282" s="91" t="s">
        <v>45</v>
      </c>
      <c r="C282" s="54" t="s">
        <v>46</v>
      </c>
      <c r="D282" s="54" t="s">
        <v>76</v>
      </c>
      <c r="E282" s="55" t="s">
        <v>162</v>
      </c>
      <c r="F282" s="436">
        <f>ROUND(31.73,15)</f>
        <v>31.73</v>
      </c>
      <c r="G282" s="437">
        <f t="shared" ref="G282:G285" si="51">I282*(100%-$I$14)</f>
        <v>25.288378294750032</v>
      </c>
      <c r="H282" s="438">
        <f>ROUND(F282*G282,15)</f>
        <v>802.40024329241896</v>
      </c>
      <c r="I282" s="520">
        <v>30.35</v>
      </c>
    </row>
    <row r="283" spans="1:9" ht="26.1" customHeight="1" thickBot="1">
      <c r="A283" s="92">
        <v>96619</v>
      </c>
      <c r="B283" s="93" t="s">
        <v>45</v>
      </c>
      <c r="C283" s="58" t="s">
        <v>46</v>
      </c>
      <c r="D283" s="58" t="s">
        <v>49</v>
      </c>
      <c r="E283" s="59" t="s">
        <v>163</v>
      </c>
      <c r="F283" s="437">
        <f>ROUND(27.63,15)</f>
        <v>27.63</v>
      </c>
      <c r="G283" s="437">
        <f t="shared" si="51"/>
        <v>22.005471853850025</v>
      </c>
      <c r="H283" s="439">
        <f>ROUND(F283*G283,15)</f>
        <v>608.01118732187604</v>
      </c>
      <c r="I283" s="520">
        <v>26.41</v>
      </c>
    </row>
    <row r="284" spans="1:9" ht="15" thickBot="1">
      <c r="A284" s="94" t="s">
        <v>164</v>
      </c>
      <c r="B284" s="95" t="s">
        <v>57</v>
      </c>
      <c r="C284" s="74" t="s">
        <v>46</v>
      </c>
      <c r="D284" s="74" t="s">
        <v>76</v>
      </c>
      <c r="E284" s="78" t="s">
        <v>165</v>
      </c>
      <c r="F284" s="440">
        <f>ROUND(7.58,15)</f>
        <v>7.58</v>
      </c>
      <c r="G284" s="440">
        <f t="shared" si="51"/>
        <v>137.51545152440016</v>
      </c>
      <c r="H284" s="441">
        <f>ROUND(F284*G284,15)</f>
        <v>1042.3671225549499</v>
      </c>
      <c r="I284" s="520">
        <v>165.04</v>
      </c>
    </row>
    <row r="285" spans="1:9" ht="15" thickBot="1">
      <c r="A285" s="102">
        <v>93382</v>
      </c>
      <c r="B285" s="103" t="s">
        <v>45</v>
      </c>
      <c r="C285" s="66" t="s">
        <v>46</v>
      </c>
      <c r="D285" s="66" t="s">
        <v>76</v>
      </c>
      <c r="E285" s="67" t="s">
        <v>166</v>
      </c>
      <c r="F285" s="450">
        <f>ROUND(7.58,15)</f>
        <v>7.58</v>
      </c>
      <c r="G285" s="440">
        <f t="shared" si="51"/>
        <v>20.289028384750026</v>
      </c>
      <c r="H285" s="451">
        <f>ROUND(F285*G285,15)</f>
        <v>153.790835156405</v>
      </c>
      <c r="I285" s="520">
        <v>24.35</v>
      </c>
    </row>
    <row r="286" spans="1:9" ht="15.75" thickTop="1" thickBot="1">
      <c r="A286" s="75"/>
      <c r="B286" s="76"/>
      <c r="C286" s="76"/>
      <c r="D286" s="77"/>
      <c r="E286" s="411" t="s">
        <v>252</v>
      </c>
      <c r="F286" s="412"/>
      <c r="G286" s="413">
        <f>H282+H283+H284+H285</f>
        <v>2606.5693883256504</v>
      </c>
      <c r="H286" s="414">
        <f>ROUND(G286,15)</f>
        <v>2606.5693883256499</v>
      </c>
      <c r="I286" s="520"/>
    </row>
    <row r="287" spans="1:9" ht="15.75" thickTop="1" thickBot="1">
      <c r="A287" s="272" t="s">
        <v>253</v>
      </c>
      <c r="B287" s="273"/>
      <c r="C287" s="273" t="s">
        <v>38</v>
      </c>
      <c r="D287" s="274"/>
      <c r="E287" s="275" t="s">
        <v>168</v>
      </c>
      <c r="F287" s="276"/>
      <c r="G287" s="277">
        <f>G289</f>
        <v>5192.3648113252902</v>
      </c>
      <c r="H287" s="278">
        <f>ROUND(G287,15)</f>
        <v>5192.3648113252902</v>
      </c>
      <c r="I287" s="520"/>
    </row>
    <row r="288" spans="1:9" ht="26.1" customHeight="1" thickTop="1" thickBot="1">
      <c r="A288" s="98">
        <v>96534</v>
      </c>
      <c r="B288" s="99" t="s">
        <v>45</v>
      </c>
      <c r="C288" s="70" t="s">
        <v>46</v>
      </c>
      <c r="D288" s="70" t="s">
        <v>49</v>
      </c>
      <c r="E288" s="71" t="s">
        <v>1362</v>
      </c>
      <c r="F288" s="444">
        <f>ROUND(88.96,15)</f>
        <v>88.96</v>
      </c>
      <c r="G288" s="437">
        <f t="shared" ref="G288" si="52">I288*(100%-$I$14)</f>
        <v>58.367410199250067</v>
      </c>
      <c r="H288" s="445">
        <f>ROUND(F288*G288,15)</f>
        <v>5192.3648113252902</v>
      </c>
      <c r="I288" s="520">
        <v>70.05</v>
      </c>
    </row>
    <row r="289" spans="1:9" ht="15.75" thickTop="1" thickBot="1">
      <c r="A289" s="75"/>
      <c r="B289" s="76"/>
      <c r="C289" s="76"/>
      <c r="D289" s="77"/>
      <c r="E289" s="411" t="s">
        <v>253</v>
      </c>
      <c r="F289" s="412"/>
      <c r="G289" s="413">
        <f>H288</f>
        <v>5192.3648113252902</v>
      </c>
      <c r="H289" s="414">
        <f>ROUND(G289,15)</f>
        <v>5192.3648113252902</v>
      </c>
      <c r="I289" s="520"/>
    </row>
    <row r="290" spans="1:9" ht="15.75" thickTop="1" thickBot="1">
      <c r="A290" s="272" t="s">
        <v>254</v>
      </c>
      <c r="B290" s="273"/>
      <c r="C290" s="273" t="s">
        <v>38</v>
      </c>
      <c r="D290" s="274"/>
      <c r="E290" s="275" t="s">
        <v>150</v>
      </c>
      <c r="F290" s="276"/>
      <c r="G290" s="277">
        <f>G297</f>
        <v>7571.3796230224498</v>
      </c>
      <c r="H290" s="278">
        <f>ROUND(G290,15)</f>
        <v>7571.3796230224498</v>
      </c>
      <c r="I290" s="520"/>
    </row>
    <row r="291" spans="1:9" ht="26.1" customHeight="1" thickTop="1" thickBot="1">
      <c r="A291" s="90">
        <v>96543</v>
      </c>
      <c r="B291" s="91" t="s">
        <v>45</v>
      </c>
      <c r="C291" s="54" t="s">
        <v>46</v>
      </c>
      <c r="D291" s="54" t="s">
        <v>151</v>
      </c>
      <c r="E291" s="55" t="s">
        <v>170</v>
      </c>
      <c r="F291" s="436">
        <f>ROUND(27.2,15)</f>
        <v>27.2</v>
      </c>
      <c r="G291" s="437">
        <f t="shared" ref="G291:G296" si="53">I291*(100%-$I$14)</f>
        <v>13.389925508950016</v>
      </c>
      <c r="H291" s="438">
        <f t="shared" ref="H291:H296" si="54">ROUND(F291*G291,15)</f>
        <v>364.20597384344001</v>
      </c>
      <c r="I291" s="520">
        <v>16.07</v>
      </c>
    </row>
    <row r="292" spans="1:9" ht="26.1" customHeight="1" thickBot="1">
      <c r="A292" s="92">
        <v>96544</v>
      </c>
      <c r="B292" s="93" t="s">
        <v>45</v>
      </c>
      <c r="C292" s="58" t="s">
        <v>46</v>
      </c>
      <c r="D292" s="58" t="s">
        <v>151</v>
      </c>
      <c r="E292" s="59" t="s">
        <v>171</v>
      </c>
      <c r="F292" s="437">
        <f>ROUND(27,15)</f>
        <v>27</v>
      </c>
      <c r="G292" s="437">
        <f t="shared" si="53"/>
        <v>12.248407279500015</v>
      </c>
      <c r="H292" s="439">
        <f t="shared" si="54"/>
        <v>330.70699654650002</v>
      </c>
      <c r="I292" s="520">
        <v>14.7</v>
      </c>
    </row>
    <row r="293" spans="1:9" ht="26.1" customHeight="1" thickBot="1">
      <c r="A293" s="92">
        <v>96545</v>
      </c>
      <c r="B293" s="93" t="s">
        <v>45</v>
      </c>
      <c r="C293" s="58" t="s">
        <v>46</v>
      </c>
      <c r="D293" s="58" t="s">
        <v>151</v>
      </c>
      <c r="E293" s="59" t="s">
        <v>172</v>
      </c>
      <c r="F293" s="437">
        <f>ROUND(244.6,15)</f>
        <v>244.6</v>
      </c>
      <c r="G293" s="437">
        <f t="shared" si="53"/>
        <v>11.215208298100015</v>
      </c>
      <c r="H293" s="439">
        <f t="shared" si="54"/>
        <v>2743.2399497152601</v>
      </c>
      <c r="I293" s="523">
        <v>13.46</v>
      </c>
    </row>
    <row r="294" spans="1:9" ht="26.1" customHeight="1" thickBot="1">
      <c r="A294" s="92">
        <v>96546</v>
      </c>
      <c r="B294" s="93" t="s">
        <v>45</v>
      </c>
      <c r="C294" s="58" t="s">
        <v>46</v>
      </c>
      <c r="D294" s="58" t="s">
        <v>151</v>
      </c>
      <c r="E294" s="59" t="s">
        <v>173</v>
      </c>
      <c r="F294" s="437">
        <f>ROUND(235.4,15)</f>
        <v>235.4</v>
      </c>
      <c r="G294" s="437">
        <f t="shared" si="53"/>
        <v>9.8903805719500113</v>
      </c>
      <c r="H294" s="439">
        <f t="shared" si="54"/>
        <v>2328.1955866370299</v>
      </c>
      <c r="I294" s="520">
        <v>11.87</v>
      </c>
    </row>
    <row r="295" spans="1:9" ht="26.1" customHeight="1" thickBot="1">
      <c r="A295" s="92">
        <v>96547</v>
      </c>
      <c r="B295" s="93" t="s">
        <v>45</v>
      </c>
      <c r="C295" s="58" t="s">
        <v>46</v>
      </c>
      <c r="D295" s="58" t="s">
        <v>151</v>
      </c>
      <c r="E295" s="59" t="s">
        <v>174</v>
      </c>
      <c r="F295" s="437">
        <f>ROUND(25.6,15)</f>
        <v>25.6</v>
      </c>
      <c r="G295" s="437">
        <f t="shared" si="53"/>
        <v>8.2989208506000107</v>
      </c>
      <c r="H295" s="439">
        <f t="shared" si="54"/>
        <v>212.45237377536</v>
      </c>
      <c r="I295" s="520">
        <v>9.9600000000000009</v>
      </c>
    </row>
    <row r="296" spans="1:9" ht="26.1" customHeight="1" thickBot="1">
      <c r="A296" s="96">
        <v>96548</v>
      </c>
      <c r="B296" s="97" t="s">
        <v>45</v>
      </c>
      <c r="C296" s="60" t="s">
        <v>46</v>
      </c>
      <c r="D296" s="60" t="s">
        <v>151</v>
      </c>
      <c r="E296" s="61" t="s">
        <v>175</v>
      </c>
      <c r="F296" s="442">
        <f>ROUND(205.3,15)</f>
        <v>205.3</v>
      </c>
      <c r="G296" s="457">
        <f t="shared" si="53"/>
        <v>7.7573246103500093</v>
      </c>
      <c r="H296" s="443">
        <f t="shared" si="54"/>
        <v>1592.57874250486</v>
      </c>
      <c r="I296" s="520">
        <v>9.31</v>
      </c>
    </row>
    <row r="297" spans="1:9" ht="15.75" thickTop="1" thickBot="1">
      <c r="A297" s="75"/>
      <c r="B297" s="76"/>
      <c r="C297" s="76"/>
      <c r="D297" s="77"/>
      <c r="E297" s="411" t="s">
        <v>254</v>
      </c>
      <c r="F297" s="412"/>
      <c r="G297" s="388">
        <f>H291+H292+H293+H294+H295+H296</f>
        <v>7571.3796230224498</v>
      </c>
      <c r="H297" s="414">
        <f>ROUND(G297,15)</f>
        <v>7571.3796230224498</v>
      </c>
      <c r="I297" s="520"/>
    </row>
    <row r="298" spans="1:9" ht="15.75" thickTop="1" thickBot="1">
      <c r="A298" s="272" t="s">
        <v>255</v>
      </c>
      <c r="B298" s="273"/>
      <c r="C298" s="273" t="s">
        <v>38</v>
      </c>
      <c r="D298" s="274"/>
      <c r="E298" s="275" t="s">
        <v>177</v>
      </c>
      <c r="F298" s="276"/>
      <c r="G298" s="277">
        <f>G300</f>
        <v>5329.3624968440099</v>
      </c>
      <c r="H298" s="278">
        <f>ROUND(G298,15)</f>
        <v>5329.3624968440099</v>
      </c>
      <c r="I298" s="520"/>
    </row>
    <row r="299" spans="1:9" ht="26.1" customHeight="1" thickTop="1" thickBot="1">
      <c r="A299" s="98" t="s">
        <v>178</v>
      </c>
      <c r="B299" s="99" t="s">
        <v>148</v>
      </c>
      <c r="C299" s="70" t="s">
        <v>46</v>
      </c>
      <c r="D299" s="70" t="s">
        <v>76</v>
      </c>
      <c r="E299" s="71" t="s">
        <v>179</v>
      </c>
      <c r="F299" s="444">
        <f>ROUND(16.58,15)</f>
        <v>16.579999999999998</v>
      </c>
      <c r="G299" s="437">
        <f t="shared" ref="G299" si="55">I299*(100%-$I$14)</f>
        <v>321.43320246345036</v>
      </c>
      <c r="H299" s="445">
        <f>ROUND(F299*G299,15)</f>
        <v>5329.3624968440099</v>
      </c>
      <c r="I299" s="520">
        <v>385.77</v>
      </c>
    </row>
    <row r="300" spans="1:9" ht="15.75" thickTop="1" thickBot="1">
      <c r="A300" s="35"/>
      <c r="B300" s="36"/>
      <c r="C300" s="36"/>
      <c r="D300" s="37"/>
      <c r="E300" s="394" t="s">
        <v>255</v>
      </c>
      <c r="F300" s="395"/>
      <c r="G300" s="396">
        <f>H299</f>
        <v>5329.3624968440099</v>
      </c>
      <c r="H300" s="397">
        <f>ROUND(G300,15)</f>
        <v>5329.3624968440099</v>
      </c>
      <c r="I300" s="520"/>
    </row>
    <row r="301" spans="1:9" ht="15" thickBot="1">
      <c r="A301" s="75"/>
      <c r="B301" s="76"/>
      <c r="C301" s="76"/>
      <c r="D301" s="77"/>
      <c r="E301" s="398" t="s">
        <v>251</v>
      </c>
      <c r="F301" s="399"/>
      <c r="G301" s="400">
        <f>H286+H289+H297+H300</f>
        <v>20699.676319517399</v>
      </c>
      <c r="H301" s="401">
        <f>ROUND(G301,15)</f>
        <v>20699.676319517399</v>
      </c>
      <c r="I301" s="520"/>
    </row>
    <row r="302" spans="1:9" ht="15.75" thickTop="1" thickBot="1">
      <c r="A302" s="279" t="s">
        <v>256</v>
      </c>
      <c r="B302" s="280"/>
      <c r="C302" s="280" t="s">
        <v>38</v>
      </c>
      <c r="D302" s="281"/>
      <c r="E302" s="282" t="s">
        <v>181</v>
      </c>
      <c r="F302" s="283"/>
      <c r="G302" s="284">
        <f>G378</f>
        <v>234892.95063370495</v>
      </c>
      <c r="H302" s="285">
        <f>ROUND(G302,15)</f>
        <v>234892.95063370501</v>
      </c>
      <c r="I302" s="520"/>
    </row>
    <row r="303" spans="1:9" ht="15" thickBot="1">
      <c r="A303" s="265" t="s">
        <v>257</v>
      </c>
      <c r="B303" s="266"/>
      <c r="C303" s="266" t="s">
        <v>38</v>
      </c>
      <c r="D303" s="267"/>
      <c r="E303" s="268" t="s">
        <v>183</v>
      </c>
      <c r="F303" s="269"/>
      <c r="G303" s="270">
        <f>G310</f>
        <v>25572.285293596553</v>
      </c>
      <c r="H303" s="271">
        <f>ROUND(G303,15)</f>
        <v>25572.2852935966</v>
      </c>
      <c r="I303" s="520"/>
    </row>
    <row r="304" spans="1:9" ht="36" customHeight="1" thickTop="1" thickBot="1">
      <c r="A304" s="90">
        <v>92443</v>
      </c>
      <c r="B304" s="91" t="s">
        <v>45</v>
      </c>
      <c r="C304" s="54" t="s">
        <v>46</v>
      </c>
      <c r="D304" s="54" t="s">
        <v>49</v>
      </c>
      <c r="E304" s="55" t="s">
        <v>184</v>
      </c>
      <c r="F304" s="436">
        <f>ROUND(230.57,15)</f>
        <v>230.57</v>
      </c>
      <c r="G304" s="437">
        <f t="shared" ref="G304:G309" si="56">I304*(100%-$I$14)</f>
        <v>27.571414753650036</v>
      </c>
      <c r="H304" s="438">
        <f t="shared" ref="H304:H309" si="57">ROUND(F304*G304,15)</f>
        <v>6357.1410997490902</v>
      </c>
      <c r="I304" s="520">
        <v>33.090000000000003</v>
      </c>
    </row>
    <row r="305" spans="1:9" ht="26.1" customHeight="1" thickBot="1">
      <c r="A305" s="92">
        <v>92722</v>
      </c>
      <c r="B305" s="93" t="s">
        <v>45</v>
      </c>
      <c r="C305" s="58" t="s">
        <v>46</v>
      </c>
      <c r="D305" s="58" t="s">
        <v>76</v>
      </c>
      <c r="E305" s="59" t="s">
        <v>185</v>
      </c>
      <c r="F305" s="437">
        <f>ROUND(16.28,15)</f>
        <v>16.28</v>
      </c>
      <c r="G305" s="437">
        <f t="shared" si="56"/>
        <v>315.69228231680034</v>
      </c>
      <c r="H305" s="439">
        <f t="shared" si="57"/>
        <v>5139.4703561175102</v>
      </c>
      <c r="I305" s="520">
        <v>378.88</v>
      </c>
    </row>
    <row r="306" spans="1:9" ht="26.1" customHeight="1" thickBot="1">
      <c r="A306" s="92">
        <v>92762</v>
      </c>
      <c r="B306" s="93" t="s">
        <v>45</v>
      </c>
      <c r="C306" s="58" t="s">
        <v>46</v>
      </c>
      <c r="D306" s="58" t="s">
        <v>151</v>
      </c>
      <c r="E306" s="59" t="s">
        <v>187</v>
      </c>
      <c r="F306" s="437">
        <f>ROUND(615.9,15)</f>
        <v>615.9</v>
      </c>
      <c r="G306" s="437">
        <f t="shared" si="56"/>
        <v>8.9071750896500106</v>
      </c>
      <c r="H306" s="439">
        <f t="shared" si="57"/>
        <v>5485.9291377154404</v>
      </c>
      <c r="I306" s="520">
        <v>10.69</v>
      </c>
    </row>
    <row r="307" spans="1:9" ht="26.1" customHeight="1" thickBot="1">
      <c r="A307" s="92">
        <v>92763</v>
      </c>
      <c r="B307" s="93" t="s">
        <v>45</v>
      </c>
      <c r="C307" s="58" t="s">
        <v>46</v>
      </c>
      <c r="D307" s="58" t="s">
        <v>151</v>
      </c>
      <c r="E307" s="59" t="s">
        <v>188</v>
      </c>
      <c r="F307" s="437">
        <f>ROUND(157.9,15)</f>
        <v>157.9</v>
      </c>
      <c r="G307" s="437">
        <f t="shared" si="56"/>
        <v>7.5073571148500085</v>
      </c>
      <c r="H307" s="439">
        <f t="shared" si="57"/>
        <v>1185.41168843482</v>
      </c>
      <c r="I307" s="520">
        <v>9.01</v>
      </c>
    </row>
    <row r="308" spans="1:9" ht="26.1" customHeight="1" thickBot="1">
      <c r="A308" s="92">
        <v>92764</v>
      </c>
      <c r="B308" s="93" t="s">
        <v>45</v>
      </c>
      <c r="C308" s="58" t="s">
        <v>46</v>
      </c>
      <c r="D308" s="58" t="s">
        <v>151</v>
      </c>
      <c r="E308" s="59" t="s">
        <v>189</v>
      </c>
      <c r="F308" s="437">
        <f>ROUND(422.5,15)</f>
        <v>422.5</v>
      </c>
      <c r="G308" s="437">
        <f t="shared" si="56"/>
        <v>7.140738121450009</v>
      </c>
      <c r="H308" s="439">
        <f t="shared" si="57"/>
        <v>3016.9618563126301</v>
      </c>
      <c r="I308" s="520">
        <v>8.57</v>
      </c>
    </row>
    <row r="309" spans="1:9" ht="26.1" customHeight="1" thickBot="1">
      <c r="A309" s="96">
        <v>92759</v>
      </c>
      <c r="B309" s="97" t="s">
        <v>45</v>
      </c>
      <c r="C309" s="60" t="s">
        <v>46</v>
      </c>
      <c r="D309" s="60" t="s">
        <v>151</v>
      </c>
      <c r="E309" s="61" t="s">
        <v>190</v>
      </c>
      <c r="F309" s="442">
        <f>ROUND(388.6,15)</f>
        <v>388.6</v>
      </c>
      <c r="G309" s="457">
        <f t="shared" si="56"/>
        <v>11.290198546750014</v>
      </c>
      <c r="H309" s="443">
        <f t="shared" si="57"/>
        <v>4387.3711552670602</v>
      </c>
      <c r="I309" s="520">
        <v>13.55</v>
      </c>
    </row>
    <row r="310" spans="1:9" ht="15.75" thickTop="1" thickBot="1">
      <c r="A310" s="75"/>
      <c r="B310" s="76"/>
      <c r="C310" s="76"/>
      <c r="D310" s="77"/>
      <c r="E310" s="411" t="s">
        <v>257</v>
      </c>
      <c r="F310" s="412"/>
      <c r="G310" s="388">
        <f>H304+H305+H306+H307+H308+H309</f>
        <v>25572.285293596553</v>
      </c>
      <c r="H310" s="414">
        <f>ROUND(G310,15)</f>
        <v>25572.2852935966</v>
      </c>
      <c r="I310" s="520"/>
    </row>
    <row r="311" spans="1:9" ht="15.75" thickTop="1" thickBot="1">
      <c r="A311" s="272" t="s">
        <v>258</v>
      </c>
      <c r="B311" s="273"/>
      <c r="C311" s="273" t="s">
        <v>38</v>
      </c>
      <c r="D311" s="274"/>
      <c r="E311" s="275" t="s">
        <v>192</v>
      </c>
      <c r="F311" s="276"/>
      <c r="G311" s="277">
        <f>G323</f>
        <v>40917.487464994498</v>
      </c>
      <c r="H311" s="278">
        <f>ROUND(G311,15)</f>
        <v>40917.487464994498</v>
      </c>
      <c r="I311" s="520"/>
    </row>
    <row r="312" spans="1:9" ht="24" thickTop="1" thickBot="1">
      <c r="A312" s="90">
        <v>96525</v>
      </c>
      <c r="B312" s="91" t="s">
        <v>45</v>
      </c>
      <c r="C312" s="54" t="s">
        <v>46</v>
      </c>
      <c r="D312" s="54" t="s">
        <v>76</v>
      </c>
      <c r="E312" s="55" t="s">
        <v>193</v>
      </c>
      <c r="F312" s="436">
        <f>ROUND(27.07,15)</f>
        <v>27.07</v>
      </c>
      <c r="G312" s="437">
        <f t="shared" ref="G312:G322" si="58">I312*(100%-$I$14)</f>
        <v>22.813700089300024</v>
      </c>
      <c r="H312" s="438">
        <f t="shared" ref="H312:H322" si="59">ROUND(F312*G312,15)</f>
        <v>617.56686141735202</v>
      </c>
      <c r="I312" s="520">
        <v>27.38</v>
      </c>
    </row>
    <row r="313" spans="1:9" ht="15" thickBot="1">
      <c r="A313" s="94">
        <v>93382</v>
      </c>
      <c r="B313" s="95" t="s">
        <v>45</v>
      </c>
      <c r="C313" s="74" t="s">
        <v>46</v>
      </c>
      <c r="D313" s="74" t="s">
        <v>76</v>
      </c>
      <c r="E313" s="78" t="s">
        <v>166</v>
      </c>
      <c r="F313" s="440">
        <f>ROUND(13.01,15)</f>
        <v>13.01</v>
      </c>
      <c r="G313" s="440">
        <f t="shared" si="58"/>
        <v>20.289028384750026</v>
      </c>
      <c r="H313" s="441">
        <f t="shared" si="59"/>
        <v>263.960259285598</v>
      </c>
      <c r="I313" s="520">
        <v>24.35</v>
      </c>
    </row>
    <row r="314" spans="1:9" ht="15" thickBot="1">
      <c r="A314" s="94" t="s">
        <v>164</v>
      </c>
      <c r="B314" s="95" t="s">
        <v>57</v>
      </c>
      <c r="C314" s="74" t="s">
        <v>46</v>
      </c>
      <c r="D314" s="74" t="s">
        <v>76</v>
      </c>
      <c r="E314" s="78" t="s">
        <v>165</v>
      </c>
      <c r="F314" s="440">
        <f>ROUND(19.02,15)</f>
        <v>19.02</v>
      </c>
      <c r="G314" s="440">
        <f t="shared" si="58"/>
        <v>137.51545152440016</v>
      </c>
      <c r="H314" s="441">
        <f t="shared" si="59"/>
        <v>2615.5438879940898</v>
      </c>
      <c r="I314" s="520">
        <v>165.04</v>
      </c>
    </row>
    <row r="315" spans="1:9" ht="23.25" thickBot="1">
      <c r="A315" s="92">
        <v>96536</v>
      </c>
      <c r="B315" s="93" t="s">
        <v>45</v>
      </c>
      <c r="C315" s="58" t="s">
        <v>46</v>
      </c>
      <c r="D315" s="58" t="s">
        <v>49</v>
      </c>
      <c r="E315" s="59" t="s">
        <v>194</v>
      </c>
      <c r="F315" s="437">
        <f>ROUND(178.39,15)</f>
        <v>178.39</v>
      </c>
      <c r="G315" s="437">
        <f t="shared" si="58"/>
        <v>49.893512101800063</v>
      </c>
      <c r="H315" s="439">
        <f t="shared" si="59"/>
        <v>8900.5036238401099</v>
      </c>
      <c r="I315" s="520">
        <v>59.88</v>
      </c>
    </row>
    <row r="316" spans="1:9" ht="23.25" thickBot="1">
      <c r="A316" s="92" t="s">
        <v>178</v>
      </c>
      <c r="B316" s="93" t="s">
        <v>148</v>
      </c>
      <c r="C316" s="58" t="s">
        <v>46</v>
      </c>
      <c r="D316" s="58" t="s">
        <v>76</v>
      </c>
      <c r="E316" s="59" t="s">
        <v>179</v>
      </c>
      <c r="F316" s="437">
        <f>ROUND(22.11,15)</f>
        <v>22.11</v>
      </c>
      <c r="G316" s="437">
        <f t="shared" si="58"/>
        <v>321.43320246345036</v>
      </c>
      <c r="H316" s="439">
        <f t="shared" si="59"/>
        <v>7106.8881064668903</v>
      </c>
      <c r="I316" s="520">
        <v>385.77</v>
      </c>
    </row>
    <row r="317" spans="1:9" ht="23.25" thickBot="1">
      <c r="A317" s="92">
        <v>96543</v>
      </c>
      <c r="B317" s="93" t="s">
        <v>45</v>
      </c>
      <c r="C317" s="58" t="s">
        <v>46</v>
      </c>
      <c r="D317" s="58" t="s">
        <v>151</v>
      </c>
      <c r="E317" s="59" t="s">
        <v>1537</v>
      </c>
      <c r="F317" s="437">
        <f>ROUND(249.3,15)</f>
        <v>249.3</v>
      </c>
      <c r="G317" s="437">
        <f t="shared" si="58"/>
        <v>13.389925508950016</v>
      </c>
      <c r="H317" s="439">
        <f t="shared" si="59"/>
        <v>3338.1084293812401</v>
      </c>
      <c r="I317" s="520">
        <v>16.07</v>
      </c>
    </row>
    <row r="318" spans="1:9" ht="23.25" thickBot="1">
      <c r="A318" s="92">
        <v>96544</v>
      </c>
      <c r="B318" s="93" t="s">
        <v>45</v>
      </c>
      <c r="C318" s="58" t="s">
        <v>46</v>
      </c>
      <c r="D318" s="58" t="s">
        <v>151</v>
      </c>
      <c r="E318" s="59" t="s">
        <v>1538</v>
      </c>
      <c r="F318" s="437">
        <f>ROUND(115.2,15)</f>
        <v>115.2</v>
      </c>
      <c r="G318" s="437">
        <f t="shared" si="58"/>
        <v>12.248407279500015</v>
      </c>
      <c r="H318" s="439">
        <f t="shared" si="59"/>
        <v>1411.0165185983999</v>
      </c>
      <c r="I318" s="520">
        <v>14.7</v>
      </c>
    </row>
    <row r="319" spans="1:9" ht="23.25" thickBot="1">
      <c r="A319" s="92">
        <v>96545</v>
      </c>
      <c r="B319" s="93" t="s">
        <v>45</v>
      </c>
      <c r="C319" s="58" t="s">
        <v>46</v>
      </c>
      <c r="D319" s="58" t="s">
        <v>151</v>
      </c>
      <c r="E319" s="59" t="s">
        <v>1539</v>
      </c>
      <c r="F319" s="437">
        <f>ROUND(82.1,15)</f>
        <v>82.1</v>
      </c>
      <c r="G319" s="437">
        <f t="shared" si="58"/>
        <v>11.215208298100015</v>
      </c>
      <c r="H319" s="439">
        <f t="shared" si="59"/>
        <v>920.76860127401096</v>
      </c>
      <c r="I319" s="520">
        <v>13.46</v>
      </c>
    </row>
    <row r="320" spans="1:9" ht="23.25" thickBot="1">
      <c r="A320" s="92">
        <v>96546</v>
      </c>
      <c r="B320" s="93" t="s">
        <v>45</v>
      </c>
      <c r="C320" s="58" t="s">
        <v>46</v>
      </c>
      <c r="D320" s="58" t="s">
        <v>151</v>
      </c>
      <c r="E320" s="59" t="s">
        <v>1540</v>
      </c>
      <c r="F320" s="437">
        <f>ROUND(149,15)</f>
        <v>149</v>
      </c>
      <c r="G320" s="437">
        <f t="shared" si="58"/>
        <v>9.8903805719500113</v>
      </c>
      <c r="H320" s="439">
        <f t="shared" si="59"/>
        <v>1473.6667052205501</v>
      </c>
      <c r="I320" s="520">
        <v>11.87</v>
      </c>
    </row>
    <row r="321" spans="1:9" ht="23.25" thickBot="1">
      <c r="A321" s="96">
        <v>96547</v>
      </c>
      <c r="B321" s="97" t="s">
        <v>45</v>
      </c>
      <c r="C321" s="60" t="s">
        <v>46</v>
      </c>
      <c r="D321" s="60" t="s">
        <v>151</v>
      </c>
      <c r="E321" s="61" t="s">
        <v>1541</v>
      </c>
      <c r="F321" s="442">
        <f>ROUND(1096.9,15)</f>
        <v>1096.9000000000001</v>
      </c>
      <c r="G321" s="442">
        <f t="shared" si="58"/>
        <v>8.2989208506000107</v>
      </c>
      <c r="H321" s="443">
        <f t="shared" si="59"/>
        <v>9103.0862810231501</v>
      </c>
      <c r="I321" s="520">
        <v>9.9600000000000009</v>
      </c>
    </row>
    <row r="322" spans="1:9" ht="24" thickTop="1" thickBot="1">
      <c r="A322" s="98">
        <v>96548</v>
      </c>
      <c r="B322" s="99" t="s">
        <v>45</v>
      </c>
      <c r="C322" s="70" t="s">
        <v>46</v>
      </c>
      <c r="D322" s="70" t="s">
        <v>151</v>
      </c>
      <c r="E322" s="71" t="s">
        <v>1542</v>
      </c>
      <c r="F322" s="444">
        <f>ROUND(666,15)</f>
        <v>666</v>
      </c>
      <c r="G322" s="444">
        <f t="shared" si="58"/>
        <v>7.7573246103500093</v>
      </c>
      <c r="H322" s="445">
        <f t="shared" si="59"/>
        <v>5166.3781904931102</v>
      </c>
      <c r="I322" s="520">
        <v>9.31</v>
      </c>
    </row>
    <row r="323" spans="1:9" ht="15.75" thickTop="1" thickBot="1">
      <c r="A323" s="75"/>
      <c r="B323" s="76"/>
      <c r="C323" s="76"/>
      <c r="D323" s="77"/>
      <c r="E323" s="411" t="s">
        <v>258</v>
      </c>
      <c r="F323" s="412"/>
      <c r="G323" s="388">
        <f>H312+H313+H314+H315+H316+H317+H318+H319+H320+H321+H322</f>
        <v>40917.487464994498</v>
      </c>
      <c r="H323" s="414">
        <f>ROUND(G323,15)</f>
        <v>40917.487464994498</v>
      </c>
      <c r="I323" s="520"/>
    </row>
    <row r="324" spans="1:9" ht="15.75" thickTop="1" thickBot="1">
      <c r="A324" s="272" t="s">
        <v>259</v>
      </c>
      <c r="B324" s="273"/>
      <c r="C324" s="273" t="s">
        <v>38</v>
      </c>
      <c r="D324" s="274"/>
      <c r="E324" s="275" t="s">
        <v>196</v>
      </c>
      <c r="F324" s="276"/>
      <c r="G324" s="277">
        <f>G331</f>
        <v>12915.229569325653</v>
      </c>
      <c r="H324" s="278">
        <f>ROUND(G324,15)</f>
        <v>12915.2295693257</v>
      </c>
      <c r="I324" s="520"/>
    </row>
    <row r="325" spans="1:9" ht="26.1" customHeight="1" thickTop="1" thickBot="1">
      <c r="A325" s="90">
        <v>92480</v>
      </c>
      <c r="B325" s="91" t="s">
        <v>45</v>
      </c>
      <c r="C325" s="54" t="s">
        <v>46</v>
      </c>
      <c r="D325" s="54" t="s">
        <v>49</v>
      </c>
      <c r="E325" s="55" t="s">
        <v>1430</v>
      </c>
      <c r="F325" s="436">
        <f>ROUND(119.71,15)</f>
        <v>119.71</v>
      </c>
      <c r="G325" s="437">
        <f t="shared" ref="G325:G330" si="60">I325*(100%-$I$14)</f>
        <v>43.094396224200047</v>
      </c>
      <c r="H325" s="438">
        <f t="shared" ref="H325:H330" si="61">ROUND(F325*G325,15)</f>
        <v>5158.8301719989904</v>
      </c>
      <c r="I325" s="520">
        <v>51.72</v>
      </c>
    </row>
    <row r="326" spans="1:9" ht="36" customHeight="1" thickBot="1">
      <c r="A326" s="92" t="s">
        <v>198</v>
      </c>
      <c r="B326" s="93" t="s">
        <v>148</v>
      </c>
      <c r="C326" s="58" t="s">
        <v>46</v>
      </c>
      <c r="D326" s="58" t="s">
        <v>76</v>
      </c>
      <c r="E326" s="59" t="s">
        <v>199</v>
      </c>
      <c r="F326" s="437">
        <f>ROUND(8.23,15)</f>
        <v>8.23</v>
      </c>
      <c r="G326" s="437">
        <f t="shared" si="60"/>
        <v>313.97583884770035</v>
      </c>
      <c r="H326" s="439">
        <f t="shared" si="61"/>
        <v>2584.0211537165701</v>
      </c>
      <c r="I326" s="520">
        <v>376.82</v>
      </c>
    </row>
    <row r="327" spans="1:9" ht="26.1" customHeight="1" thickBot="1">
      <c r="A327" s="92">
        <v>92760</v>
      </c>
      <c r="B327" s="93" t="s">
        <v>45</v>
      </c>
      <c r="C327" s="58" t="s">
        <v>46</v>
      </c>
      <c r="D327" s="58" t="s">
        <v>151</v>
      </c>
      <c r="E327" s="59" t="s">
        <v>200</v>
      </c>
      <c r="F327" s="437">
        <f>ROUND(30.3,15)</f>
        <v>30.3</v>
      </c>
      <c r="G327" s="437">
        <f t="shared" si="60"/>
        <v>10.631950808600012</v>
      </c>
      <c r="H327" s="439">
        <f t="shared" si="61"/>
        <v>322.14810950058001</v>
      </c>
      <c r="I327" s="520">
        <v>12.76</v>
      </c>
    </row>
    <row r="328" spans="1:9" ht="26.1" customHeight="1" thickBot="1">
      <c r="A328" s="92">
        <v>92762</v>
      </c>
      <c r="B328" s="93" t="s">
        <v>45</v>
      </c>
      <c r="C328" s="58" t="s">
        <v>46</v>
      </c>
      <c r="D328" s="58" t="s">
        <v>151</v>
      </c>
      <c r="E328" s="59" t="s">
        <v>187</v>
      </c>
      <c r="F328" s="437">
        <f>ROUND(234.4,15)</f>
        <v>234.4</v>
      </c>
      <c r="G328" s="437">
        <f t="shared" si="60"/>
        <v>8.9071750896500106</v>
      </c>
      <c r="H328" s="439">
        <f t="shared" si="61"/>
        <v>2087.8418410139602</v>
      </c>
      <c r="I328" s="520">
        <v>10.69</v>
      </c>
    </row>
    <row r="329" spans="1:9" ht="26.1" customHeight="1" thickBot="1">
      <c r="A329" s="92">
        <v>92763</v>
      </c>
      <c r="B329" s="93" t="s">
        <v>45</v>
      </c>
      <c r="C329" s="58" t="s">
        <v>46</v>
      </c>
      <c r="D329" s="58" t="s">
        <v>151</v>
      </c>
      <c r="E329" s="59" t="s">
        <v>188</v>
      </c>
      <c r="F329" s="437">
        <f>ROUND(210.2,15)</f>
        <v>210.2</v>
      </c>
      <c r="G329" s="437">
        <f t="shared" si="60"/>
        <v>7.5073571148500085</v>
      </c>
      <c r="H329" s="439">
        <f t="shared" si="61"/>
        <v>1578.0464655414701</v>
      </c>
      <c r="I329" s="520">
        <v>9.01</v>
      </c>
    </row>
    <row r="330" spans="1:9" ht="26.1" customHeight="1" thickBot="1">
      <c r="A330" s="96">
        <v>92759</v>
      </c>
      <c r="B330" s="97" t="s">
        <v>45</v>
      </c>
      <c r="C330" s="60" t="s">
        <v>46</v>
      </c>
      <c r="D330" s="60" t="s">
        <v>151</v>
      </c>
      <c r="E330" s="61" t="s">
        <v>190</v>
      </c>
      <c r="F330" s="442">
        <f>ROUND(104.9,15)</f>
        <v>104.9</v>
      </c>
      <c r="G330" s="437">
        <f t="shared" si="60"/>
        <v>11.290198546750014</v>
      </c>
      <c r="H330" s="443">
        <f t="shared" si="61"/>
        <v>1184.3418275540801</v>
      </c>
      <c r="I330" s="520">
        <v>13.55</v>
      </c>
    </row>
    <row r="331" spans="1:9" ht="15.75" thickTop="1" thickBot="1">
      <c r="A331" s="75"/>
      <c r="B331" s="76"/>
      <c r="C331" s="76"/>
      <c r="D331" s="77"/>
      <c r="E331" s="415" t="s">
        <v>259</v>
      </c>
      <c r="F331" s="416"/>
      <c r="G331" s="417">
        <f>H325+H326+H327+H328+H329+H330</f>
        <v>12915.229569325653</v>
      </c>
      <c r="H331" s="418">
        <f>ROUND(G331,15)</f>
        <v>12915.2295693257</v>
      </c>
      <c r="I331" s="520"/>
    </row>
    <row r="332" spans="1:9" ht="15.75" thickTop="1" thickBot="1">
      <c r="A332" s="272" t="s">
        <v>260</v>
      </c>
      <c r="B332" s="273"/>
      <c r="C332" s="273" t="s">
        <v>38</v>
      </c>
      <c r="D332" s="274"/>
      <c r="E332" s="275" t="s">
        <v>261</v>
      </c>
      <c r="F332" s="276"/>
      <c r="G332" s="277">
        <f>G340</f>
        <v>28094.548061392383</v>
      </c>
      <c r="H332" s="278">
        <f>ROUND(G332,15)</f>
        <v>28094.548061392401</v>
      </c>
      <c r="I332" s="520"/>
    </row>
    <row r="333" spans="1:9" ht="26.1" customHeight="1" thickTop="1" thickBot="1">
      <c r="A333" s="90">
        <v>92480</v>
      </c>
      <c r="B333" s="91" t="s">
        <v>45</v>
      </c>
      <c r="C333" s="54" t="s">
        <v>46</v>
      </c>
      <c r="D333" s="54" t="s">
        <v>49</v>
      </c>
      <c r="E333" s="55" t="s">
        <v>197</v>
      </c>
      <c r="F333" s="436">
        <f>ROUND(248.55,15)</f>
        <v>248.55</v>
      </c>
      <c r="G333" s="437">
        <f t="shared" ref="G333:G339" si="62">I333*(100%-$I$14)</f>
        <v>43.094396224200047</v>
      </c>
      <c r="H333" s="438">
        <f t="shared" ref="H333:H339" si="63">ROUND(F333*G333,15)</f>
        <v>10711.112181524901</v>
      </c>
      <c r="I333" s="520">
        <v>51.72</v>
      </c>
    </row>
    <row r="334" spans="1:9" ht="36" customHeight="1" thickBot="1">
      <c r="A334" s="92" t="s">
        <v>198</v>
      </c>
      <c r="B334" s="93" t="s">
        <v>148</v>
      </c>
      <c r="C334" s="58" t="s">
        <v>46</v>
      </c>
      <c r="D334" s="58" t="s">
        <v>76</v>
      </c>
      <c r="E334" s="59" t="s">
        <v>199</v>
      </c>
      <c r="F334" s="437">
        <f>ROUND(19.18,15)</f>
        <v>19.18</v>
      </c>
      <c r="G334" s="437">
        <f t="shared" si="62"/>
        <v>313.97583884770035</v>
      </c>
      <c r="H334" s="439">
        <f t="shared" si="63"/>
        <v>6022.0565890988901</v>
      </c>
      <c r="I334" s="520">
        <v>376.82</v>
      </c>
    </row>
    <row r="335" spans="1:9" ht="26.1" customHeight="1" thickBot="1">
      <c r="A335" s="92">
        <v>92760</v>
      </c>
      <c r="B335" s="93" t="s">
        <v>45</v>
      </c>
      <c r="C335" s="58" t="s">
        <v>46</v>
      </c>
      <c r="D335" s="58" t="s">
        <v>151</v>
      </c>
      <c r="E335" s="59" t="s">
        <v>200</v>
      </c>
      <c r="F335" s="437">
        <f>ROUND(251.1,15)</f>
        <v>251.1</v>
      </c>
      <c r="G335" s="437">
        <f t="shared" si="62"/>
        <v>10.631950808600012</v>
      </c>
      <c r="H335" s="439">
        <f t="shared" si="63"/>
        <v>2669.6828480394602</v>
      </c>
      <c r="I335" s="520">
        <v>12.76</v>
      </c>
    </row>
    <row r="336" spans="1:9" ht="26.1" customHeight="1" thickBot="1">
      <c r="A336" s="92">
        <v>92761</v>
      </c>
      <c r="B336" s="93" t="s">
        <v>45</v>
      </c>
      <c r="C336" s="58" t="s">
        <v>46</v>
      </c>
      <c r="D336" s="58" t="s">
        <v>151</v>
      </c>
      <c r="E336" s="59" t="s">
        <v>186</v>
      </c>
      <c r="F336" s="437">
        <f>ROUND(9.7,15)</f>
        <v>9.6999999999999993</v>
      </c>
      <c r="G336" s="437">
        <f t="shared" si="62"/>
        <v>9.8820483221000117</v>
      </c>
      <c r="H336" s="439">
        <f t="shared" si="63"/>
        <v>95.855868724370097</v>
      </c>
      <c r="I336" s="520">
        <v>11.86</v>
      </c>
    </row>
    <row r="337" spans="1:9" ht="26.1" customHeight="1" thickBot="1">
      <c r="A337" s="92">
        <v>92762</v>
      </c>
      <c r="B337" s="93" t="s">
        <v>45</v>
      </c>
      <c r="C337" s="58" t="s">
        <v>46</v>
      </c>
      <c r="D337" s="58" t="s">
        <v>151</v>
      </c>
      <c r="E337" s="59" t="s">
        <v>187</v>
      </c>
      <c r="F337" s="437">
        <f>ROUND(214.5,15)</f>
        <v>214.5</v>
      </c>
      <c r="G337" s="437">
        <f t="shared" si="62"/>
        <v>8.9071750896500106</v>
      </c>
      <c r="H337" s="439">
        <f t="shared" si="63"/>
        <v>1910.58905672993</v>
      </c>
      <c r="I337" s="520">
        <v>10.69</v>
      </c>
    </row>
    <row r="338" spans="1:9" ht="26.1" customHeight="1" thickBot="1">
      <c r="A338" s="92">
        <v>92763</v>
      </c>
      <c r="B338" s="93" t="s">
        <v>45</v>
      </c>
      <c r="C338" s="58" t="s">
        <v>46</v>
      </c>
      <c r="D338" s="58" t="s">
        <v>151</v>
      </c>
      <c r="E338" s="59" t="s">
        <v>188</v>
      </c>
      <c r="F338" s="437">
        <f>ROUND(564,15)</f>
        <v>564</v>
      </c>
      <c r="G338" s="437">
        <f t="shared" si="62"/>
        <v>7.5073571148500085</v>
      </c>
      <c r="H338" s="439">
        <f t="shared" si="63"/>
        <v>4234.1494127754004</v>
      </c>
      <c r="I338" s="520">
        <v>9.01</v>
      </c>
    </row>
    <row r="339" spans="1:9" ht="26.1" customHeight="1" thickBot="1">
      <c r="A339" s="96">
        <v>92759</v>
      </c>
      <c r="B339" s="97" t="s">
        <v>45</v>
      </c>
      <c r="C339" s="60" t="s">
        <v>46</v>
      </c>
      <c r="D339" s="60" t="s">
        <v>151</v>
      </c>
      <c r="E339" s="61" t="s">
        <v>190</v>
      </c>
      <c r="F339" s="442">
        <f>ROUND(217.1,15)</f>
        <v>217.1</v>
      </c>
      <c r="G339" s="457">
        <f t="shared" si="62"/>
        <v>11.290198546750014</v>
      </c>
      <c r="H339" s="443">
        <f t="shared" si="63"/>
        <v>2451.10210449943</v>
      </c>
      <c r="I339" s="520">
        <v>13.55</v>
      </c>
    </row>
    <row r="340" spans="1:9" ht="15.75" thickTop="1" thickBot="1">
      <c r="A340" s="75"/>
      <c r="B340" s="76"/>
      <c r="C340" s="76"/>
      <c r="D340" s="77"/>
      <c r="E340" s="419" t="s">
        <v>260</v>
      </c>
      <c r="F340" s="420"/>
      <c r="G340" s="417">
        <f>H333+H334+H335+H336+H337+H338+H339</f>
        <v>28094.548061392383</v>
      </c>
      <c r="H340" s="422">
        <f>ROUND(G340,15)</f>
        <v>28094.548061392401</v>
      </c>
      <c r="I340" s="520"/>
    </row>
    <row r="341" spans="1:9" ht="15.75" thickTop="1" thickBot="1">
      <c r="A341" s="272" t="s">
        <v>262</v>
      </c>
      <c r="B341" s="273"/>
      <c r="C341" s="273" t="s">
        <v>38</v>
      </c>
      <c r="D341" s="274"/>
      <c r="E341" s="275" t="s">
        <v>202</v>
      </c>
      <c r="F341" s="276"/>
      <c r="G341" s="277">
        <f>G346</f>
        <v>1756.2117978290789</v>
      </c>
      <c r="H341" s="278">
        <f>ROUND(G341,15)</f>
        <v>1756.2117978290801</v>
      </c>
      <c r="I341" s="520"/>
    </row>
    <row r="342" spans="1:9" ht="26.1" customHeight="1" thickTop="1" thickBot="1">
      <c r="A342" s="90">
        <v>92480</v>
      </c>
      <c r="B342" s="91" t="s">
        <v>45</v>
      </c>
      <c r="C342" s="54" t="s">
        <v>46</v>
      </c>
      <c r="D342" s="54" t="s">
        <v>49</v>
      </c>
      <c r="E342" s="55" t="s">
        <v>197</v>
      </c>
      <c r="F342" s="436">
        <f>ROUND(17.48,15)</f>
        <v>17.48</v>
      </c>
      <c r="G342" s="437">
        <f t="shared" ref="G342:G345" si="64">I342*(100%-$I$14)</f>
        <v>43.094396224200047</v>
      </c>
      <c r="H342" s="438">
        <f>ROUND(F342*G342,15)</f>
        <v>753.29004599901702</v>
      </c>
      <c r="I342" s="520">
        <v>51.72</v>
      </c>
    </row>
    <row r="343" spans="1:9" ht="36" customHeight="1" thickBot="1">
      <c r="A343" s="92" t="s">
        <v>198</v>
      </c>
      <c r="B343" s="93" t="s">
        <v>148</v>
      </c>
      <c r="C343" s="58" t="s">
        <v>46</v>
      </c>
      <c r="D343" s="58" t="s">
        <v>76</v>
      </c>
      <c r="E343" s="59" t="s">
        <v>199</v>
      </c>
      <c r="F343" s="437">
        <f>ROUND(1.23,15)</f>
        <v>1.23</v>
      </c>
      <c r="G343" s="437">
        <f t="shared" si="64"/>
        <v>313.97583884770035</v>
      </c>
      <c r="H343" s="439">
        <f>ROUND(F343*G343,15)</f>
        <v>386.19028178267098</v>
      </c>
      <c r="I343" s="520">
        <v>376.82</v>
      </c>
    </row>
    <row r="344" spans="1:9" ht="26.1" customHeight="1" thickBot="1">
      <c r="A344" s="92">
        <v>92762</v>
      </c>
      <c r="B344" s="93" t="s">
        <v>45</v>
      </c>
      <c r="C344" s="58" t="s">
        <v>46</v>
      </c>
      <c r="D344" s="58" t="s">
        <v>151</v>
      </c>
      <c r="E344" s="59" t="s">
        <v>187</v>
      </c>
      <c r="F344" s="437">
        <f>ROUND(50.1,15)</f>
        <v>50.1</v>
      </c>
      <c r="G344" s="437">
        <f t="shared" si="64"/>
        <v>8.9071750896500106</v>
      </c>
      <c r="H344" s="439">
        <f>ROUND(F344*G344,15)</f>
        <v>446.24947199146601</v>
      </c>
      <c r="I344" s="520">
        <v>10.69</v>
      </c>
    </row>
    <row r="345" spans="1:9" ht="26.1" customHeight="1" thickBot="1">
      <c r="A345" s="96">
        <v>92759</v>
      </c>
      <c r="B345" s="97" t="s">
        <v>45</v>
      </c>
      <c r="C345" s="60" t="s">
        <v>46</v>
      </c>
      <c r="D345" s="60" t="s">
        <v>151</v>
      </c>
      <c r="E345" s="61" t="s">
        <v>190</v>
      </c>
      <c r="F345" s="442">
        <f>ROUND(15.1,15)</f>
        <v>15.1</v>
      </c>
      <c r="G345" s="457">
        <f t="shared" si="64"/>
        <v>11.290198546750014</v>
      </c>
      <c r="H345" s="443">
        <f>ROUND(F345*G345,15)</f>
        <v>170.481998055925</v>
      </c>
      <c r="I345" s="520">
        <v>13.55</v>
      </c>
    </row>
    <row r="346" spans="1:9" ht="15.75" thickTop="1" thickBot="1">
      <c r="A346" s="75"/>
      <c r="B346" s="76"/>
      <c r="C346" s="76"/>
      <c r="D346" s="77"/>
      <c r="E346" s="419" t="s">
        <v>262</v>
      </c>
      <c r="F346" s="420"/>
      <c r="G346" s="417">
        <f>H342+H343+H344+H345</f>
        <v>1756.2117978290789</v>
      </c>
      <c r="H346" s="422">
        <f>ROUND(G346,15)</f>
        <v>1756.2117978290801</v>
      </c>
      <c r="I346" s="520"/>
    </row>
    <row r="347" spans="1:9" ht="15.75" thickTop="1" thickBot="1">
      <c r="A347" s="272" t="s">
        <v>263</v>
      </c>
      <c r="B347" s="273"/>
      <c r="C347" s="273" t="s">
        <v>38</v>
      </c>
      <c r="D347" s="274"/>
      <c r="E347" s="275" t="s">
        <v>204</v>
      </c>
      <c r="F347" s="276"/>
      <c r="G347" s="277">
        <f>G355</f>
        <v>85773.534196468201</v>
      </c>
      <c r="H347" s="278">
        <f>ROUND(G347,15)</f>
        <v>85773.534196468201</v>
      </c>
      <c r="I347" s="520"/>
    </row>
    <row r="348" spans="1:9" ht="15.75" thickTop="1" thickBot="1">
      <c r="A348" s="100">
        <v>93382</v>
      </c>
      <c r="B348" s="101" t="s">
        <v>45</v>
      </c>
      <c r="C348" s="64" t="s">
        <v>46</v>
      </c>
      <c r="D348" s="64" t="s">
        <v>76</v>
      </c>
      <c r="E348" s="65" t="s">
        <v>166</v>
      </c>
      <c r="F348" s="446">
        <f>ROUND(50.09,15)</f>
        <v>50.09</v>
      </c>
      <c r="G348" s="440">
        <f t="shared" ref="G348:G354" si="65">I348*(100%-$I$14)</f>
        <v>20.289028384750026</v>
      </c>
      <c r="H348" s="447">
        <f t="shared" ref="H348:H354" si="66">ROUND(F348*G348,15)</f>
        <v>1016.27743179213</v>
      </c>
      <c r="I348" s="520">
        <v>24.35</v>
      </c>
    </row>
    <row r="349" spans="1:9" ht="15" thickBot="1">
      <c r="A349" s="94" t="s">
        <v>164</v>
      </c>
      <c r="B349" s="95" t="s">
        <v>57</v>
      </c>
      <c r="C349" s="74" t="s">
        <v>46</v>
      </c>
      <c r="D349" s="74" t="s">
        <v>76</v>
      </c>
      <c r="E349" s="78" t="s">
        <v>165</v>
      </c>
      <c r="F349" s="440">
        <f>ROUND(25.05,15)</f>
        <v>25.05</v>
      </c>
      <c r="G349" s="440">
        <f t="shared" si="65"/>
        <v>137.51545152440016</v>
      </c>
      <c r="H349" s="441">
        <f t="shared" si="66"/>
        <v>3444.7620606862201</v>
      </c>
      <c r="I349" s="520">
        <v>165.04</v>
      </c>
    </row>
    <row r="350" spans="1:9" ht="26.1" customHeight="1" thickBot="1">
      <c r="A350" s="92" t="s">
        <v>178</v>
      </c>
      <c r="B350" s="93" t="s">
        <v>148</v>
      </c>
      <c r="C350" s="58" t="s">
        <v>46</v>
      </c>
      <c r="D350" s="58" t="s">
        <v>76</v>
      </c>
      <c r="E350" s="59" t="s">
        <v>179</v>
      </c>
      <c r="F350" s="437">
        <f>ROUND(75.14,15)</f>
        <v>75.14</v>
      </c>
      <c r="G350" s="437">
        <f t="shared" si="65"/>
        <v>321.43320246345036</v>
      </c>
      <c r="H350" s="439">
        <f t="shared" si="66"/>
        <v>24152.4908331037</v>
      </c>
      <c r="I350" s="520">
        <v>385.77</v>
      </c>
    </row>
    <row r="351" spans="1:9" ht="26.1" customHeight="1" thickBot="1">
      <c r="A351" s="92">
        <v>92769</v>
      </c>
      <c r="B351" s="93" t="s">
        <v>45</v>
      </c>
      <c r="C351" s="58" t="s">
        <v>46</v>
      </c>
      <c r="D351" s="58" t="s">
        <v>151</v>
      </c>
      <c r="E351" s="59" t="s">
        <v>205</v>
      </c>
      <c r="F351" s="437">
        <f>ROUND(103.2,15)</f>
        <v>103.2</v>
      </c>
      <c r="G351" s="437">
        <f t="shared" si="65"/>
        <v>9.7737290740500118</v>
      </c>
      <c r="H351" s="439">
        <f t="shared" si="66"/>
        <v>1008.64884044196</v>
      </c>
      <c r="I351" s="520">
        <v>11.73</v>
      </c>
    </row>
    <row r="352" spans="1:9" ht="26.1" customHeight="1" thickBot="1">
      <c r="A352" s="92">
        <v>92770</v>
      </c>
      <c r="B352" s="93" t="s">
        <v>45</v>
      </c>
      <c r="C352" s="58" t="s">
        <v>46</v>
      </c>
      <c r="D352" s="58" t="s">
        <v>151</v>
      </c>
      <c r="E352" s="59" t="s">
        <v>206</v>
      </c>
      <c r="F352" s="437">
        <f>ROUND(3422.5,15)</f>
        <v>3422.5</v>
      </c>
      <c r="G352" s="437">
        <f t="shared" si="65"/>
        <v>9.3321198320000107</v>
      </c>
      <c r="H352" s="439">
        <f t="shared" si="66"/>
        <v>31939.180125020001</v>
      </c>
      <c r="I352" s="520">
        <v>11.2</v>
      </c>
    </row>
    <row r="353" spans="1:9" ht="26.1" customHeight="1" thickBot="1">
      <c r="A353" s="92">
        <v>92771</v>
      </c>
      <c r="B353" s="93" t="s">
        <v>45</v>
      </c>
      <c r="C353" s="58" t="s">
        <v>46</v>
      </c>
      <c r="D353" s="58" t="s">
        <v>151</v>
      </c>
      <c r="E353" s="59" t="s">
        <v>207</v>
      </c>
      <c r="F353" s="437">
        <f>ROUND(2493.2,15)</f>
        <v>2493.1999999999998</v>
      </c>
      <c r="G353" s="437">
        <f t="shared" si="65"/>
        <v>8.4155723485000102</v>
      </c>
      <c r="H353" s="439">
        <f t="shared" si="66"/>
        <v>20981.704979280199</v>
      </c>
      <c r="I353" s="520">
        <v>10.1</v>
      </c>
    </row>
    <row r="354" spans="1:9" ht="26.1" customHeight="1" thickBot="1">
      <c r="A354" s="96">
        <v>92772</v>
      </c>
      <c r="B354" s="97" t="s">
        <v>45</v>
      </c>
      <c r="C354" s="60" t="s">
        <v>46</v>
      </c>
      <c r="D354" s="60" t="s">
        <v>151</v>
      </c>
      <c r="E354" s="61" t="s">
        <v>208</v>
      </c>
      <c r="F354" s="442">
        <f>ROUND(452.4,15)</f>
        <v>452.4</v>
      </c>
      <c r="G354" s="457">
        <f t="shared" si="65"/>
        <v>7.140738121450009</v>
      </c>
      <c r="H354" s="443">
        <f t="shared" si="66"/>
        <v>3230.46992614398</v>
      </c>
      <c r="I354" s="520">
        <v>8.57</v>
      </c>
    </row>
    <row r="355" spans="1:9" ht="15.75" thickTop="1" thickBot="1">
      <c r="A355" s="75"/>
      <c r="B355" s="76"/>
      <c r="C355" s="76"/>
      <c r="D355" s="77"/>
      <c r="E355" s="419" t="s">
        <v>263</v>
      </c>
      <c r="F355" s="420"/>
      <c r="G355" s="417">
        <f>H348+H349+H350+H351+H352+H353+H354</f>
        <v>85773.534196468201</v>
      </c>
      <c r="H355" s="422">
        <f>ROUND(G355,15)</f>
        <v>85773.534196468201</v>
      </c>
      <c r="I355" s="520"/>
    </row>
    <row r="356" spans="1:9" ht="15.75" thickTop="1" thickBot="1">
      <c r="A356" s="272" t="s">
        <v>264</v>
      </c>
      <c r="B356" s="273"/>
      <c r="C356" s="273" t="s">
        <v>38</v>
      </c>
      <c r="D356" s="274"/>
      <c r="E356" s="275" t="s">
        <v>211</v>
      </c>
      <c r="F356" s="276"/>
      <c r="G356" s="277">
        <f>G362</f>
        <v>8673.95225009356</v>
      </c>
      <c r="H356" s="278">
        <f>ROUND(G356,15)</f>
        <v>8673.95225009356</v>
      </c>
      <c r="I356" s="520"/>
    </row>
    <row r="357" spans="1:9" ht="36" customHeight="1" thickTop="1" thickBot="1">
      <c r="A357" s="90" t="s">
        <v>265</v>
      </c>
      <c r="B357" s="91" t="s">
        <v>148</v>
      </c>
      <c r="C357" s="54" t="s">
        <v>46</v>
      </c>
      <c r="D357" s="54" t="s">
        <v>49</v>
      </c>
      <c r="E357" s="55" t="s">
        <v>1431</v>
      </c>
      <c r="F357" s="436">
        <f>ROUND(68.12,15)</f>
        <v>68.12</v>
      </c>
      <c r="G357" s="437">
        <f t="shared" ref="G357:G361" si="67">I357*(100%-$I$14)</f>
        <v>22.547068094100027</v>
      </c>
      <c r="H357" s="438">
        <f>ROUND(F357*G357,15)</f>
        <v>1535.9062785700901</v>
      </c>
      <c r="I357" s="520">
        <v>27.06</v>
      </c>
    </row>
    <row r="358" spans="1:9" ht="36" customHeight="1" thickBot="1">
      <c r="A358" s="92" t="s">
        <v>198</v>
      </c>
      <c r="B358" s="93" t="s">
        <v>148</v>
      </c>
      <c r="C358" s="58" t="s">
        <v>46</v>
      </c>
      <c r="D358" s="58" t="s">
        <v>76</v>
      </c>
      <c r="E358" s="59" t="s">
        <v>199</v>
      </c>
      <c r="F358" s="437">
        <f>ROUND(8.95,15)</f>
        <v>8.9499999999999993</v>
      </c>
      <c r="G358" s="437">
        <f t="shared" si="67"/>
        <v>313.97583884770035</v>
      </c>
      <c r="H358" s="439">
        <f>ROUND(F358*G358,15)</f>
        <v>2810.0837576869199</v>
      </c>
      <c r="I358" s="520">
        <v>376.82</v>
      </c>
    </row>
    <row r="359" spans="1:9" ht="26.1" customHeight="1" thickBot="1">
      <c r="A359" s="92">
        <v>92770</v>
      </c>
      <c r="B359" s="93" t="s">
        <v>45</v>
      </c>
      <c r="C359" s="58" t="s">
        <v>46</v>
      </c>
      <c r="D359" s="58" t="s">
        <v>151</v>
      </c>
      <c r="E359" s="59" t="s">
        <v>206</v>
      </c>
      <c r="F359" s="437">
        <f>ROUND(340.9,15)</f>
        <v>340.9</v>
      </c>
      <c r="G359" s="437">
        <f t="shared" si="67"/>
        <v>9.3321198320000107</v>
      </c>
      <c r="H359" s="439">
        <f>ROUND(F359*G359,15)</f>
        <v>3181.3196507287998</v>
      </c>
      <c r="I359" s="520">
        <v>11.2</v>
      </c>
    </row>
    <row r="360" spans="1:9" ht="26.1" customHeight="1" thickBot="1">
      <c r="A360" s="92">
        <v>92771</v>
      </c>
      <c r="B360" s="93" t="s">
        <v>45</v>
      </c>
      <c r="C360" s="58" t="s">
        <v>46</v>
      </c>
      <c r="D360" s="58" t="s">
        <v>151</v>
      </c>
      <c r="E360" s="59" t="s">
        <v>207</v>
      </c>
      <c r="F360" s="437">
        <f>ROUND(21.5,15)</f>
        <v>21.5</v>
      </c>
      <c r="G360" s="437">
        <f t="shared" si="67"/>
        <v>8.4155723485000102</v>
      </c>
      <c r="H360" s="439">
        <f>ROUND(F360*G360,15)</f>
        <v>180.93480549275</v>
      </c>
      <c r="I360" s="520">
        <v>10.1</v>
      </c>
    </row>
    <row r="361" spans="1:9" ht="26.1" customHeight="1" thickBot="1">
      <c r="A361" s="96">
        <v>92768</v>
      </c>
      <c r="B361" s="97" t="s">
        <v>45</v>
      </c>
      <c r="C361" s="60" t="s">
        <v>46</v>
      </c>
      <c r="D361" s="60" t="s">
        <v>151</v>
      </c>
      <c r="E361" s="61" t="s">
        <v>209</v>
      </c>
      <c r="F361" s="442">
        <f>ROUND(95,15)</f>
        <v>95</v>
      </c>
      <c r="G361" s="457">
        <f t="shared" si="67"/>
        <v>10.165344817000012</v>
      </c>
      <c r="H361" s="443">
        <f>ROUND(F361*G361,15)</f>
        <v>965.70775761500101</v>
      </c>
      <c r="I361" s="520">
        <v>12.2</v>
      </c>
    </row>
    <row r="362" spans="1:9" ht="15.75" thickTop="1" thickBot="1">
      <c r="A362" s="75"/>
      <c r="B362" s="76"/>
      <c r="C362" s="76"/>
      <c r="D362" s="77"/>
      <c r="E362" s="419" t="s">
        <v>264</v>
      </c>
      <c r="F362" s="420"/>
      <c r="G362" s="417">
        <f>H357+H358+H359+H360+H361</f>
        <v>8673.95225009356</v>
      </c>
      <c r="H362" s="422">
        <f>ROUND(G362,15)</f>
        <v>8673.95225009356</v>
      </c>
      <c r="I362" s="520"/>
    </row>
    <row r="363" spans="1:9" ht="15.75" thickTop="1" thickBot="1">
      <c r="A363" s="272" t="s">
        <v>267</v>
      </c>
      <c r="B363" s="273"/>
      <c r="C363" s="273" t="s">
        <v>38</v>
      </c>
      <c r="D363" s="274"/>
      <c r="E363" s="275" t="s">
        <v>268</v>
      </c>
      <c r="F363" s="276"/>
      <c r="G363" s="277">
        <f>G369</f>
        <v>27251.023415707823</v>
      </c>
      <c r="H363" s="278">
        <f>ROUND(G363,15)</f>
        <v>27251.023415707801</v>
      </c>
      <c r="I363" s="520"/>
    </row>
    <row r="364" spans="1:9" ht="36" customHeight="1" thickTop="1" thickBot="1">
      <c r="A364" s="90" t="s">
        <v>265</v>
      </c>
      <c r="B364" s="91" t="s">
        <v>148</v>
      </c>
      <c r="C364" s="54" t="s">
        <v>46</v>
      </c>
      <c r="D364" s="54" t="s">
        <v>49</v>
      </c>
      <c r="E364" s="55" t="s">
        <v>266</v>
      </c>
      <c r="F364" s="436">
        <f>ROUND(223.73,15)</f>
        <v>223.73</v>
      </c>
      <c r="G364" s="437">
        <f t="shared" ref="G364:G368" si="68">I364*(100%-$I$14)</f>
        <v>22.563732593800026</v>
      </c>
      <c r="H364" s="438">
        <f>ROUND(F364*G364,15)</f>
        <v>5048.1838932108803</v>
      </c>
      <c r="I364" s="520">
        <v>27.08</v>
      </c>
    </row>
    <row r="365" spans="1:9" ht="36" customHeight="1" thickBot="1">
      <c r="A365" s="92" t="s">
        <v>198</v>
      </c>
      <c r="B365" s="93" t="s">
        <v>148</v>
      </c>
      <c r="C365" s="58" t="s">
        <v>46</v>
      </c>
      <c r="D365" s="58" t="s">
        <v>76</v>
      </c>
      <c r="E365" s="59" t="s">
        <v>199</v>
      </c>
      <c r="F365" s="437">
        <f>ROUND(29.2,15)</f>
        <v>29.2</v>
      </c>
      <c r="G365" s="437">
        <f t="shared" si="68"/>
        <v>313.97583884770035</v>
      </c>
      <c r="H365" s="439">
        <f>ROUND(F365*G365,15)</f>
        <v>9168.0944943528502</v>
      </c>
      <c r="I365" s="520">
        <v>376.82</v>
      </c>
    </row>
    <row r="366" spans="1:9" ht="26.1" customHeight="1" thickBot="1">
      <c r="A366" s="92">
        <v>92769</v>
      </c>
      <c r="B366" s="93" t="s">
        <v>45</v>
      </c>
      <c r="C366" s="58" t="s">
        <v>46</v>
      </c>
      <c r="D366" s="58" t="s">
        <v>151</v>
      </c>
      <c r="E366" s="59" t="s">
        <v>205</v>
      </c>
      <c r="F366" s="437">
        <f>ROUND(753.6,15)</f>
        <v>753.6</v>
      </c>
      <c r="G366" s="437">
        <f t="shared" si="68"/>
        <v>9.7737290740500118</v>
      </c>
      <c r="H366" s="439">
        <f>ROUND(F366*G366,15)</f>
        <v>7365.4822302040902</v>
      </c>
      <c r="I366" s="520">
        <v>11.73</v>
      </c>
    </row>
    <row r="367" spans="1:9" ht="26.1" customHeight="1" thickBot="1">
      <c r="A367" s="92">
        <v>92770</v>
      </c>
      <c r="B367" s="93" t="s">
        <v>45</v>
      </c>
      <c r="C367" s="58" t="s">
        <v>46</v>
      </c>
      <c r="D367" s="58" t="s">
        <v>151</v>
      </c>
      <c r="E367" s="59" t="s">
        <v>206</v>
      </c>
      <c r="F367" s="437">
        <f>ROUND(314.7,15)</f>
        <v>314.7</v>
      </c>
      <c r="G367" s="437">
        <f t="shared" si="68"/>
        <v>9.3321198320000107</v>
      </c>
      <c r="H367" s="439">
        <f>ROUND(F367*G367,15)</f>
        <v>2936.8181111304002</v>
      </c>
      <c r="I367" s="520">
        <v>11.2</v>
      </c>
    </row>
    <row r="368" spans="1:9" ht="26.1" customHeight="1" thickBot="1">
      <c r="A368" s="96">
        <v>92768</v>
      </c>
      <c r="B368" s="97" t="s">
        <v>45</v>
      </c>
      <c r="C368" s="60" t="s">
        <v>46</v>
      </c>
      <c r="D368" s="60" t="s">
        <v>151</v>
      </c>
      <c r="E368" s="61" t="s">
        <v>209</v>
      </c>
      <c r="F368" s="442">
        <f>ROUND(268.8,15)</f>
        <v>268.8</v>
      </c>
      <c r="G368" s="457">
        <f t="shared" si="68"/>
        <v>10.165344817000012</v>
      </c>
      <c r="H368" s="443">
        <f>ROUND(F368*G368,15)</f>
        <v>2732.4446868096002</v>
      </c>
      <c r="I368" s="520">
        <v>12.2</v>
      </c>
    </row>
    <row r="369" spans="1:9" ht="15.75" thickTop="1" thickBot="1">
      <c r="A369" s="75"/>
      <c r="B369" s="76"/>
      <c r="C369" s="76"/>
      <c r="D369" s="77"/>
      <c r="E369" s="419" t="s">
        <v>267</v>
      </c>
      <c r="F369" s="420"/>
      <c r="G369" s="417">
        <f>H364+H365+H366+H367+H368</f>
        <v>27251.023415707823</v>
      </c>
      <c r="H369" s="422">
        <f>ROUND(G369,15)</f>
        <v>27251.023415707801</v>
      </c>
      <c r="I369" s="520"/>
    </row>
    <row r="370" spans="1:9" ht="15.75" thickTop="1" thickBot="1">
      <c r="A370" s="272" t="s">
        <v>269</v>
      </c>
      <c r="B370" s="273"/>
      <c r="C370" s="273" t="s">
        <v>38</v>
      </c>
      <c r="D370" s="274"/>
      <c r="E370" s="275" t="s">
        <v>228</v>
      </c>
      <c r="F370" s="276"/>
      <c r="G370" s="277">
        <f>G377</f>
        <v>3938.6785842970667</v>
      </c>
      <c r="H370" s="278">
        <f>ROUND(G370,15)</f>
        <v>3938.6785842970698</v>
      </c>
      <c r="I370" s="520"/>
    </row>
    <row r="371" spans="1:9" ht="26.1" customHeight="1" thickTop="1" thickBot="1">
      <c r="A371" s="90">
        <v>95941</v>
      </c>
      <c r="B371" s="91" t="s">
        <v>45</v>
      </c>
      <c r="C371" s="54" t="s">
        <v>46</v>
      </c>
      <c r="D371" s="54" t="s">
        <v>49</v>
      </c>
      <c r="E371" s="55" t="s">
        <v>229</v>
      </c>
      <c r="F371" s="436">
        <f>ROUND(19.41,15)</f>
        <v>19.41</v>
      </c>
      <c r="G371" s="437">
        <f t="shared" ref="G371:G376" si="69">I371*(100%-$I$14)</f>
        <v>99.312085962150121</v>
      </c>
      <c r="H371" s="438">
        <f t="shared" ref="H371:H376" si="70">ROUND(F371*G371,15)</f>
        <v>1927.6475885253301</v>
      </c>
      <c r="I371" s="520">
        <v>119.19</v>
      </c>
    </row>
    <row r="372" spans="1:9" ht="36" customHeight="1" thickBot="1">
      <c r="A372" s="92" t="s">
        <v>198</v>
      </c>
      <c r="B372" s="93" t="s">
        <v>148</v>
      </c>
      <c r="C372" s="58" t="s">
        <v>46</v>
      </c>
      <c r="D372" s="58" t="s">
        <v>76</v>
      </c>
      <c r="E372" s="59" t="s">
        <v>199</v>
      </c>
      <c r="F372" s="437">
        <f>ROUND(1.65,15)</f>
        <v>1.65</v>
      </c>
      <c r="G372" s="437">
        <f t="shared" si="69"/>
        <v>313.97583884770035</v>
      </c>
      <c r="H372" s="439">
        <f t="shared" si="70"/>
        <v>518.06013409870604</v>
      </c>
      <c r="I372" s="520">
        <v>376.82</v>
      </c>
    </row>
    <row r="373" spans="1:9" ht="26.1" customHeight="1" thickBot="1">
      <c r="A373" s="92">
        <v>95944</v>
      </c>
      <c r="B373" s="93" t="s">
        <v>45</v>
      </c>
      <c r="C373" s="58" t="s">
        <v>46</v>
      </c>
      <c r="D373" s="58" t="s">
        <v>151</v>
      </c>
      <c r="E373" s="59" t="s">
        <v>230</v>
      </c>
      <c r="F373" s="437">
        <f>ROUND(9,15)</f>
        <v>9</v>
      </c>
      <c r="G373" s="437">
        <f t="shared" si="69"/>
        <v>14.739749984650018</v>
      </c>
      <c r="H373" s="439">
        <f t="shared" si="70"/>
        <v>132.65774986184999</v>
      </c>
      <c r="I373" s="520">
        <v>17.690000000000001</v>
      </c>
    </row>
    <row r="374" spans="1:9" ht="26.1" customHeight="1" thickBot="1">
      <c r="A374" s="92">
        <v>95945</v>
      </c>
      <c r="B374" s="93" t="s">
        <v>45</v>
      </c>
      <c r="C374" s="58" t="s">
        <v>46</v>
      </c>
      <c r="D374" s="58" t="s">
        <v>151</v>
      </c>
      <c r="E374" s="59" t="s">
        <v>231</v>
      </c>
      <c r="F374" s="437">
        <f>ROUND(82.8,15)</f>
        <v>82.8</v>
      </c>
      <c r="G374" s="437">
        <f t="shared" si="69"/>
        <v>12.081762282500014</v>
      </c>
      <c r="H374" s="439">
        <f t="shared" si="70"/>
        <v>1000.369916991</v>
      </c>
      <c r="I374" s="520">
        <v>14.5</v>
      </c>
    </row>
    <row r="375" spans="1:9" ht="26.1" customHeight="1" thickBot="1">
      <c r="A375" s="92">
        <v>95946</v>
      </c>
      <c r="B375" s="93" t="s">
        <v>45</v>
      </c>
      <c r="C375" s="58" t="s">
        <v>46</v>
      </c>
      <c r="D375" s="58" t="s">
        <v>151</v>
      </c>
      <c r="E375" s="59" t="s">
        <v>232</v>
      </c>
      <c r="F375" s="437">
        <f>ROUND(7.9,15)</f>
        <v>7.9</v>
      </c>
      <c r="G375" s="437">
        <f t="shared" si="69"/>
        <v>9.698738825400012</v>
      </c>
      <c r="H375" s="439">
        <f t="shared" si="70"/>
        <v>76.620036720660096</v>
      </c>
      <c r="I375" s="520">
        <v>11.64</v>
      </c>
    </row>
    <row r="376" spans="1:9" ht="26.1" customHeight="1" thickBot="1">
      <c r="A376" s="96">
        <v>95943</v>
      </c>
      <c r="B376" s="97" t="s">
        <v>45</v>
      </c>
      <c r="C376" s="60" t="s">
        <v>46</v>
      </c>
      <c r="D376" s="60" t="s">
        <v>151</v>
      </c>
      <c r="E376" s="61" t="s">
        <v>233</v>
      </c>
      <c r="F376" s="442">
        <f>ROUND(17.6,15)</f>
        <v>17.600000000000001</v>
      </c>
      <c r="G376" s="437">
        <f t="shared" si="69"/>
        <v>16.097906710200018</v>
      </c>
      <c r="H376" s="443">
        <f t="shared" si="70"/>
        <v>283.32315809952001</v>
      </c>
      <c r="I376" s="520">
        <v>19.32</v>
      </c>
    </row>
    <row r="377" spans="1:9" ht="15.75" thickTop="1" thickBot="1">
      <c r="A377" s="85"/>
      <c r="B377" s="86"/>
      <c r="C377" s="86"/>
      <c r="D377" s="141"/>
      <c r="E377" s="423" t="s">
        <v>269</v>
      </c>
      <c r="F377" s="424"/>
      <c r="G377" s="425">
        <f>H371+H372+H373+H374+H375+H376</f>
        <v>3938.6785842970667</v>
      </c>
      <c r="H377" s="426">
        <f>ROUND(G377,15)</f>
        <v>3938.6785842970698</v>
      </c>
      <c r="I377" s="520"/>
    </row>
    <row r="378" spans="1:9" ht="15" thickBot="1">
      <c r="A378" s="114"/>
      <c r="B378" s="115"/>
      <c r="C378" s="115"/>
      <c r="D378" s="142"/>
      <c r="E378" s="427" t="s">
        <v>256</v>
      </c>
      <c r="F378" s="428"/>
      <c r="G378" s="429">
        <f>H310+H323+H331+H340+H346+H355+H362+H369+H377</f>
        <v>234892.95063370495</v>
      </c>
      <c r="H378" s="430">
        <f>ROUND(G378,15)</f>
        <v>234892.95063370501</v>
      </c>
      <c r="I378" s="520"/>
    </row>
    <row r="379" spans="1:9" ht="15.75" thickTop="1" thickBot="1">
      <c r="A379" s="227" t="s">
        <v>270</v>
      </c>
      <c r="B379" s="228"/>
      <c r="C379" s="228" t="s">
        <v>38</v>
      </c>
      <c r="D379" s="229"/>
      <c r="E379" s="236" t="s">
        <v>235</v>
      </c>
      <c r="F379" s="231"/>
      <c r="G379" s="232">
        <f>G382</f>
        <v>127714.89410563798</v>
      </c>
      <c r="H379" s="233">
        <f>ROUND(G379,15)</f>
        <v>127714.894105638</v>
      </c>
      <c r="I379" s="520"/>
    </row>
    <row r="380" spans="1:9" ht="15.75" thickTop="1" thickBot="1">
      <c r="A380" s="100" t="s">
        <v>236</v>
      </c>
      <c r="B380" s="101" t="s">
        <v>237</v>
      </c>
      <c r="C380" s="64" t="s">
        <v>46</v>
      </c>
      <c r="D380" s="64" t="s">
        <v>151</v>
      </c>
      <c r="E380" s="65" t="s">
        <v>238</v>
      </c>
      <c r="F380" s="446">
        <f>ROUND(14446.38,15)</f>
        <v>14446.38</v>
      </c>
      <c r="G380" s="440">
        <f t="shared" ref="G380:G381" si="71">I380*(100%-$I$14)</f>
        <v>8.3322498500000091</v>
      </c>
      <c r="H380" s="447">
        <f>ROUND(F380*G380,15)</f>
        <v>120370.84758804301</v>
      </c>
      <c r="I380" s="520">
        <v>10</v>
      </c>
    </row>
    <row r="381" spans="1:9" ht="15" thickBot="1">
      <c r="A381" s="102" t="s">
        <v>271</v>
      </c>
      <c r="B381" s="103" t="s">
        <v>57</v>
      </c>
      <c r="C381" s="66" t="s">
        <v>46</v>
      </c>
      <c r="D381" s="66" t="s">
        <v>49</v>
      </c>
      <c r="E381" s="67" t="s">
        <v>1501</v>
      </c>
      <c r="F381" s="450">
        <f>ROUND(318.54,15)</f>
        <v>318.54000000000002</v>
      </c>
      <c r="G381" s="440">
        <f t="shared" si="71"/>
        <v>23.05533533495003</v>
      </c>
      <c r="H381" s="451">
        <f>ROUND(F381*G381,15)</f>
        <v>7344.0465175949803</v>
      </c>
      <c r="I381" s="520">
        <v>27.67</v>
      </c>
    </row>
    <row r="382" spans="1:9" ht="15.75" thickTop="1" thickBot="1">
      <c r="A382" s="75"/>
      <c r="B382" s="76"/>
      <c r="C382" s="76"/>
      <c r="D382" s="77"/>
      <c r="E382" s="419" t="s">
        <v>270</v>
      </c>
      <c r="F382" s="420"/>
      <c r="G382" s="421">
        <f>H380+H381</f>
        <v>127714.89410563798</v>
      </c>
      <c r="H382" s="422">
        <f>ROUND(G382,15)</f>
        <v>127714.894105638</v>
      </c>
      <c r="I382" s="520"/>
    </row>
    <row r="383" spans="1:9" ht="15.75" thickTop="1" thickBot="1">
      <c r="A383" s="227" t="s">
        <v>272</v>
      </c>
      <c r="B383" s="228"/>
      <c r="C383" s="228" t="s">
        <v>38</v>
      </c>
      <c r="D383" s="229"/>
      <c r="E383" s="236" t="s">
        <v>240</v>
      </c>
      <c r="F383" s="231"/>
      <c r="G383" s="232">
        <f>G386</f>
        <v>1356.4902755799999</v>
      </c>
      <c r="H383" s="233">
        <f>ROUND(G383,15)</f>
        <v>1356.4902755799999</v>
      </c>
      <c r="I383" s="520"/>
    </row>
    <row r="384" spans="1:9" ht="15.75" thickTop="1" thickBot="1">
      <c r="A384" s="100" t="s">
        <v>241</v>
      </c>
      <c r="B384" s="101" t="s">
        <v>57</v>
      </c>
      <c r="C384" s="64" t="s">
        <v>46</v>
      </c>
      <c r="D384" s="64" t="s">
        <v>47</v>
      </c>
      <c r="E384" s="65" t="s">
        <v>242</v>
      </c>
      <c r="F384" s="446">
        <f>ROUND(176,15)</f>
        <v>176</v>
      </c>
      <c r="G384" s="440">
        <f t="shared" ref="G384:G385" si="72">I384*(100%-$I$14)</f>
        <v>6.6657998800000078</v>
      </c>
      <c r="H384" s="447">
        <f>ROUND(F384*G384,15)</f>
        <v>1173.1807788799999</v>
      </c>
      <c r="I384" s="520">
        <v>8</v>
      </c>
    </row>
    <row r="385" spans="1:9" ht="15" thickBot="1">
      <c r="A385" s="102" t="s">
        <v>243</v>
      </c>
      <c r="B385" s="103" t="s">
        <v>57</v>
      </c>
      <c r="C385" s="66" t="s">
        <v>46</v>
      </c>
      <c r="D385" s="66" t="s">
        <v>47</v>
      </c>
      <c r="E385" s="67" t="s">
        <v>244</v>
      </c>
      <c r="F385" s="450">
        <f>ROUND(44,15)</f>
        <v>44</v>
      </c>
      <c r="G385" s="440">
        <f t="shared" si="72"/>
        <v>4.1661249250000045</v>
      </c>
      <c r="H385" s="451">
        <f>ROUND(F385*G385,15)</f>
        <v>183.30949670000001</v>
      </c>
      <c r="I385" s="520">
        <v>5</v>
      </c>
    </row>
    <row r="386" spans="1:9" ht="15.75" thickTop="1" thickBot="1">
      <c r="A386" s="85"/>
      <c r="B386" s="86"/>
      <c r="C386" s="86"/>
      <c r="D386" s="141"/>
      <c r="E386" s="423" t="s">
        <v>272</v>
      </c>
      <c r="F386" s="424"/>
      <c r="G386" s="425">
        <f>H384+H385</f>
        <v>1356.4902755799999</v>
      </c>
      <c r="H386" s="426">
        <f t="shared" ref="H386:H393" si="73">ROUND(G386,15)</f>
        <v>1356.4902755799999</v>
      </c>
      <c r="I386" s="522"/>
    </row>
    <row r="387" spans="1:9" ht="15" thickBot="1">
      <c r="A387" s="75"/>
      <c r="B387" s="76"/>
      <c r="C387" s="76"/>
      <c r="D387" s="77"/>
      <c r="E387" s="431" t="s">
        <v>245</v>
      </c>
      <c r="F387" s="432"/>
      <c r="G387" s="433">
        <f>H279+H301+H378+H382+H386</f>
        <v>495081.60319316544</v>
      </c>
      <c r="H387" s="434">
        <f t="shared" si="73"/>
        <v>495081.60319316498</v>
      </c>
      <c r="I387" s="522"/>
    </row>
    <row r="388" spans="1:9" ht="15.75" thickBot="1">
      <c r="A388" s="114"/>
      <c r="B388" s="115"/>
      <c r="C388" s="115"/>
      <c r="D388" s="142"/>
      <c r="E388" s="460" t="s">
        <v>140</v>
      </c>
      <c r="F388" s="461"/>
      <c r="G388" s="458">
        <f>H264+H387</f>
        <v>1399037.126337559</v>
      </c>
      <c r="H388" s="459">
        <f t="shared" si="73"/>
        <v>1399037.1263375599</v>
      </c>
      <c r="I388" s="672">
        <v>1679038.66</v>
      </c>
    </row>
    <row r="389" spans="1:9" ht="15.75" thickTop="1" thickBot="1">
      <c r="A389" s="244" t="s">
        <v>273</v>
      </c>
      <c r="B389" s="245"/>
      <c r="C389" s="245" t="s">
        <v>38</v>
      </c>
      <c r="D389" s="246"/>
      <c r="E389" s="247" t="s">
        <v>274</v>
      </c>
      <c r="F389" s="248"/>
      <c r="G389" s="249">
        <f>G678</f>
        <v>1312208.2534552929</v>
      </c>
      <c r="H389" s="250">
        <f t="shared" si="73"/>
        <v>1312208.2534552901</v>
      </c>
      <c r="I389" s="522"/>
    </row>
    <row r="390" spans="1:9" ht="15" thickBot="1">
      <c r="A390" s="251" t="s">
        <v>275</v>
      </c>
      <c r="B390" s="252"/>
      <c r="C390" s="252" t="s">
        <v>38</v>
      </c>
      <c r="D390" s="253"/>
      <c r="E390" s="254" t="s">
        <v>143</v>
      </c>
      <c r="F390" s="255"/>
      <c r="G390" s="256">
        <f>G538</f>
        <v>857955.03922970302</v>
      </c>
      <c r="H390" s="257">
        <f t="shared" si="73"/>
        <v>857955.03922970302</v>
      </c>
      <c r="I390" s="522"/>
    </row>
    <row r="391" spans="1:9" ht="15" thickBot="1">
      <c r="A391" s="258" t="s">
        <v>276</v>
      </c>
      <c r="B391" s="259"/>
      <c r="C391" s="259" t="s">
        <v>38</v>
      </c>
      <c r="D391" s="260"/>
      <c r="E391" s="261" t="s">
        <v>277</v>
      </c>
      <c r="F391" s="262"/>
      <c r="G391" s="263">
        <f>G537</f>
        <v>857955.03922970267</v>
      </c>
      <c r="H391" s="264">
        <f t="shared" si="73"/>
        <v>857955.03922970302</v>
      </c>
      <c r="I391" s="522"/>
    </row>
    <row r="392" spans="1:9" ht="15" thickBot="1">
      <c r="A392" s="286" t="s">
        <v>278</v>
      </c>
      <c r="B392" s="287"/>
      <c r="C392" s="287" t="s">
        <v>38</v>
      </c>
      <c r="D392" s="288"/>
      <c r="E392" s="289" t="s">
        <v>279</v>
      </c>
      <c r="F392" s="290"/>
      <c r="G392" s="291">
        <f>G409</f>
        <v>139553.5415015597</v>
      </c>
      <c r="H392" s="292">
        <f t="shared" si="73"/>
        <v>139553.54150155999</v>
      </c>
      <c r="I392" s="522"/>
    </row>
    <row r="393" spans="1:9" ht="15" thickBot="1">
      <c r="A393" s="293" t="s">
        <v>280</v>
      </c>
      <c r="B393" s="294"/>
      <c r="C393" s="294" t="s">
        <v>38</v>
      </c>
      <c r="D393" s="295"/>
      <c r="E393" s="296" t="s">
        <v>281</v>
      </c>
      <c r="F393" s="297"/>
      <c r="G393" s="298">
        <f>G397</f>
        <v>104382.76326376604</v>
      </c>
      <c r="H393" s="299">
        <f t="shared" si="73"/>
        <v>104382.763263766</v>
      </c>
      <c r="I393" s="522"/>
    </row>
    <row r="394" spans="1:9" ht="36" customHeight="1" thickTop="1" thickBot="1">
      <c r="A394" s="90">
        <v>87503</v>
      </c>
      <c r="B394" s="91" t="s">
        <v>45</v>
      </c>
      <c r="C394" s="54" t="s">
        <v>46</v>
      </c>
      <c r="D394" s="54" t="s">
        <v>49</v>
      </c>
      <c r="E394" s="55" t="s">
        <v>1339</v>
      </c>
      <c r="F394" s="436">
        <f>ROUND(1491.37,15)</f>
        <v>1491.37</v>
      </c>
      <c r="G394" s="437">
        <f t="shared" ref="G394:G396" si="74">I394*(100%-$I$14)</f>
        <v>60.067189168650074</v>
      </c>
      <c r="H394" s="438">
        <f>ROUND(F394*G394,15)</f>
        <v>89582.403910449604</v>
      </c>
      <c r="I394" s="520">
        <v>72.09</v>
      </c>
    </row>
    <row r="395" spans="1:9" ht="15" thickBot="1">
      <c r="A395" s="94">
        <v>93202</v>
      </c>
      <c r="B395" s="95" t="s">
        <v>45</v>
      </c>
      <c r="C395" s="74" t="s">
        <v>46</v>
      </c>
      <c r="D395" s="74" t="s">
        <v>68</v>
      </c>
      <c r="E395" s="78" t="s">
        <v>282</v>
      </c>
      <c r="F395" s="440">
        <f>ROUND(571.77,15)</f>
        <v>571.77</v>
      </c>
      <c r="G395" s="437">
        <f t="shared" si="74"/>
        <v>20.155712387150025</v>
      </c>
      <c r="H395" s="441">
        <f>ROUND(F395*G395,15)</f>
        <v>11524.4316716008</v>
      </c>
      <c r="I395" s="520">
        <v>24.19</v>
      </c>
    </row>
    <row r="396" spans="1:9" ht="15" thickBot="1">
      <c r="A396" s="102" t="s">
        <v>283</v>
      </c>
      <c r="B396" s="103" t="s">
        <v>148</v>
      </c>
      <c r="C396" s="66" t="s">
        <v>46</v>
      </c>
      <c r="D396" s="66" t="s">
        <v>49</v>
      </c>
      <c r="E396" s="67" t="s">
        <v>1502</v>
      </c>
      <c r="F396" s="450">
        <f>ROUND(24.89,15)</f>
        <v>24.89</v>
      </c>
      <c r="G396" s="437">
        <f t="shared" si="74"/>
        <v>131.61621863060017</v>
      </c>
      <c r="H396" s="451">
        <f>ROUND(F396*G396,15)</f>
        <v>3275.9276817156401</v>
      </c>
      <c r="I396" s="520">
        <v>157.96</v>
      </c>
    </row>
    <row r="397" spans="1:9" ht="15.75" thickTop="1" thickBot="1">
      <c r="A397" s="75"/>
      <c r="B397" s="76"/>
      <c r="C397" s="76"/>
      <c r="D397" s="77"/>
      <c r="E397" s="435" t="s">
        <v>280</v>
      </c>
      <c r="F397" s="416"/>
      <c r="G397" s="417">
        <f>H394+H395+H396</f>
        <v>104382.76326376604</v>
      </c>
      <c r="H397" s="418">
        <f>ROUND(G397,15)</f>
        <v>104382.763263766</v>
      </c>
      <c r="I397" s="520"/>
    </row>
    <row r="398" spans="1:9" ht="15.75" thickTop="1" thickBot="1">
      <c r="A398" s="300" t="s">
        <v>284</v>
      </c>
      <c r="B398" s="301"/>
      <c r="C398" s="301" t="s">
        <v>38</v>
      </c>
      <c r="D398" s="302"/>
      <c r="E398" s="303" t="s">
        <v>285</v>
      </c>
      <c r="F398" s="304"/>
      <c r="G398" s="305">
        <f>G405</f>
        <v>12354.415161441615</v>
      </c>
      <c r="H398" s="306">
        <f>ROUND(G398,15)</f>
        <v>12354.415161441601</v>
      </c>
      <c r="I398" s="520"/>
    </row>
    <row r="399" spans="1:9" ht="15.75" thickTop="1" thickBot="1">
      <c r="A399" s="100">
        <v>93182</v>
      </c>
      <c r="B399" s="101" t="s">
        <v>45</v>
      </c>
      <c r="C399" s="64" t="s">
        <v>46</v>
      </c>
      <c r="D399" s="64" t="s">
        <v>68</v>
      </c>
      <c r="E399" s="65" t="s">
        <v>286</v>
      </c>
      <c r="F399" s="446">
        <f>ROUND(91.7,15)</f>
        <v>91.7</v>
      </c>
      <c r="G399" s="437">
        <f t="shared" ref="G399:G404" si="75">I399*(100%-$I$14)</f>
        <v>30.637682698450039</v>
      </c>
      <c r="H399" s="447">
        <f t="shared" ref="H399:H404" si="76">ROUND(F399*G399,15)</f>
        <v>2809.4755034478699</v>
      </c>
      <c r="I399" s="520">
        <v>36.770000000000003</v>
      </c>
    </row>
    <row r="400" spans="1:9" ht="15" thickBot="1">
      <c r="A400" s="94">
        <v>93183</v>
      </c>
      <c r="B400" s="95" t="s">
        <v>45</v>
      </c>
      <c r="C400" s="74" t="s">
        <v>46</v>
      </c>
      <c r="D400" s="74" t="s">
        <v>68</v>
      </c>
      <c r="E400" s="78" t="s">
        <v>287</v>
      </c>
      <c r="F400" s="440">
        <f>ROUND(72,15)</f>
        <v>72</v>
      </c>
      <c r="G400" s="437">
        <f t="shared" si="75"/>
        <v>38.994929298000045</v>
      </c>
      <c r="H400" s="441">
        <f t="shared" si="76"/>
        <v>2807.6349094560001</v>
      </c>
      <c r="I400" s="520">
        <v>46.8</v>
      </c>
    </row>
    <row r="401" spans="1:9" ht="15" thickBot="1">
      <c r="A401" s="94">
        <v>93184</v>
      </c>
      <c r="B401" s="95" t="s">
        <v>45</v>
      </c>
      <c r="C401" s="74" t="s">
        <v>46</v>
      </c>
      <c r="D401" s="74" t="s">
        <v>68</v>
      </c>
      <c r="E401" s="78" t="s">
        <v>288</v>
      </c>
      <c r="F401" s="440">
        <f>ROUND(47,15)</f>
        <v>47</v>
      </c>
      <c r="G401" s="437">
        <f t="shared" si="75"/>
        <v>22.872025838250025</v>
      </c>
      <c r="H401" s="441">
        <f t="shared" si="76"/>
        <v>1074.98521439775</v>
      </c>
      <c r="I401" s="520">
        <v>27.45</v>
      </c>
    </row>
    <row r="402" spans="1:9" ht="15" thickBot="1">
      <c r="A402" s="94">
        <v>93185</v>
      </c>
      <c r="B402" s="95" t="s">
        <v>45</v>
      </c>
      <c r="C402" s="74" t="s">
        <v>46</v>
      </c>
      <c r="D402" s="74" t="s">
        <v>68</v>
      </c>
      <c r="E402" s="78" t="s">
        <v>289</v>
      </c>
      <c r="F402" s="440">
        <f>ROUND(7.75,15)</f>
        <v>7.75</v>
      </c>
      <c r="G402" s="437">
        <f t="shared" si="75"/>
        <v>38.378342809100047</v>
      </c>
      <c r="H402" s="441">
        <f t="shared" si="76"/>
        <v>297.43215677052501</v>
      </c>
      <c r="I402" s="520">
        <v>46.06</v>
      </c>
    </row>
    <row r="403" spans="1:9" ht="15" thickBot="1">
      <c r="A403" s="94">
        <v>93194</v>
      </c>
      <c r="B403" s="95" t="s">
        <v>45</v>
      </c>
      <c r="C403" s="74" t="s">
        <v>46</v>
      </c>
      <c r="D403" s="74" t="s">
        <v>68</v>
      </c>
      <c r="E403" s="78" t="s">
        <v>290</v>
      </c>
      <c r="F403" s="440">
        <f>ROUND(91.7,15)</f>
        <v>91.7</v>
      </c>
      <c r="G403" s="437">
        <f t="shared" si="75"/>
        <v>30.046092959100037</v>
      </c>
      <c r="H403" s="441">
        <f t="shared" si="76"/>
        <v>2755.2267243494698</v>
      </c>
      <c r="I403" s="520">
        <v>36.06</v>
      </c>
    </row>
    <row r="404" spans="1:9" ht="15" thickBot="1">
      <c r="A404" s="102">
        <v>93195</v>
      </c>
      <c r="B404" s="103" t="s">
        <v>45</v>
      </c>
      <c r="C404" s="66" t="s">
        <v>46</v>
      </c>
      <c r="D404" s="66" t="s">
        <v>68</v>
      </c>
      <c r="E404" s="67" t="s">
        <v>291</v>
      </c>
      <c r="F404" s="450">
        <f>ROUND(72,15)</f>
        <v>72</v>
      </c>
      <c r="G404" s="437">
        <f t="shared" si="75"/>
        <v>36.24528684750004</v>
      </c>
      <c r="H404" s="451">
        <f t="shared" si="76"/>
        <v>2609.6606530200002</v>
      </c>
      <c r="I404" s="520">
        <v>43.5</v>
      </c>
    </row>
    <row r="405" spans="1:9" ht="15.75" thickTop="1" thickBot="1">
      <c r="A405" s="75"/>
      <c r="B405" s="76"/>
      <c r="C405" s="76"/>
      <c r="D405" s="77"/>
      <c r="E405" s="435" t="s">
        <v>284</v>
      </c>
      <c r="F405" s="416"/>
      <c r="G405" s="417">
        <f>H399+H400+H401+H402+H403+H404</f>
        <v>12354.415161441615</v>
      </c>
      <c r="H405" s="418">
        <f>ROUND(G405,15)</f>
        <v>12354.415161441601</v>
      </c>
      <c r="I405" s="520"/>
    </row>
    <row r="406" spans="1:9" ht="15.75" thickTop="1" thickBot="1">
      <c r="A406" s="300" t="s">
        <v>292</v>
      </c>
      <c r="B406" s="301"/>
      <c r="C406" s="301" t="s">
        <v>38</v>
      </c>
      <c r="D406" s="302"/>
      <c r="E406" s="303" t="s">
        <v>293</v>
      </c>
      <c r="F406" s="304"/>
      <c r="G406" s="305">
        <f>G408</f>
        <v>22816.3630763521</v>
      </c>
      <c r="H406" s="306">
        <f>ROUND(G406,15)</f>
        <v>22816.3630763521</v>
      </c>
      <c r="I406" s="520"/>
    </row>
    <row r="407" spans="1:9" ht="26.1" customHeight="1" thickTop="1" thickBot="1">
      <c r="A407" s="98">
        <v>79627</v>
      </c>
      <c r="B407" s="99" t="s">
        <v>45</v>
      </c>
      <c r="C407" s="70" t="s">
        <v>46</v>
      </c>
      <c r="D407" s="70" t="s">
        <v>49</v>
      </c>
      <c r="E407" s="71" t="s">
        <v>294</v>
      </c>
      <c r="F407" s="444">
        <f>ROUND(39.8,15)</f>
        <v>39.799999999999997</v>
      </c>
      <c r="G407" s="437">
        <f t="shared" ref="G407" si="77">I407*(100%-$I$14)</f>
        <v>573.27545417970066</v>
      </c>
      <c r="H407" s="445">
        <f>ROUND(F407*G407,15)</f>
        <v>22816.3630763521</v>
      </c>
      <c r="I407" s="520">
        <v>688.02</v>
      </c>
    </row>
    <row r="408" spans="1:9" ht="15.75" thickTop="1" thickBot="1">
      <c r="A408" s="85"/>
      <c r="B408" s="86"/>
      <c r="C408" s="86"/>
      <c r="D408" s="112"/>
      <c r="E408" s="423" t="s">
        <v>292</v>
      </c>
      <c r="F408" s="424"/>
      <c r="G408" s="425">
        <f>H407</f>
        <v>22816.3630763521</v>
      </c>
      <c r="H408" s="426">
        <f>ROUND(G408,15)</f>
        <v>22816.3630763521</v>
      </c>
      <c r="I408" s="520"/>
    </row>
    <row r="409" spans="1:9" ht="15" thickBot="1">
      <c r="A409" s="114"/>
      <c r="B409" s="115"/>
      <c r="C409" s="115"/>
      <c r="D409" s="116"/>
      <c r="E409" s="427" t="s">
        <v>278</v>
      </c>
      <c r="F409" s="428"/>
      <c r="G409" s="429">
        <f>H397+H405+H408</f>
        <v>139553.5415015597</v>
      </c>
      <c r="H409" s="430">
        <f>ROUND(G409,15)</f>
        <v>139553.54150155999</v>
      </c>
      <c r="I409" s="520"/>
    </row>
    <row r="410" spans="1:9" ht="15.75" thickTop="1" thickBot="1">
      <c r="A410" s="272" t="s">
        <v>295</v>
      </c>
      <c r="B410" s="273"/>
      <c r="C410" s="273" t="s">
        <v>38</v>
      </c>
      <c r="D410" s="274"/>
      <c r="E410" s="275" t="s">
        <v>296</v>
      </c>
      <c r="F410" s="276"/>
      <c r="G410" s="277">
        <f>G412</f>
        <v>27335.9440397291</v>
      </c>
      <c r="H410" s="278">
        <f>ROUND(G410,15)</f>
        <v>27335.9440397291</v>
      </c>
      <c r="I410" s="520"/>
    </row>
    <row r="411" spans="1:9" ht="26.1" customHeight="1" thickTop="1" thickBot="1">
      <c r="A411" s="98">
        <v>87630</v>
      </c>
      <c r="B411" s="99" t="s">
        <v>45</v>
      </c>
      <c r="C411" s="70" t="s">
        <v>46</v>
      </c>
      <c r="D411" s="70" t="s">
        <v>49</v>
      </c>
      <c r="E411" s="71" t="s">
        <v>1344</v>
      </c>
      <c r="F411" s="444">
        <f>ROUND(958.16,15)</f>
        <v>958.16</v>
      </c>
      <c r="G411" s="437">
        <f t="shared" ref="G411" si="78">I411*(100%-$I$14)</f>
        <v>28.529623486400034</v>
      </c>
      <c r="H411" s="445">
        <f>ROUND(F411*G411,15)</f>
        <v>27335.9440397291</v>
      </c>
      <c r="I411" s="520">
        <v>34.24</v>
      </c>
    </row>
    <row r="412" spans="1:9" ht="15.75" thickTop="1" thickBot="1">
      <c r="A412" s="75"/>
      <c r="B412" s="76"/>
      <c r="C412" s="76"/>
      <c r="D412" s="77"/>
      <c r="E412" s="415" t="s">
        <v>295</v>
      </c>
      <c r="F412" s="416"/>
      <c r="G412" s="417">
        <f>H411</f>
        <v>27335.9440397291</v>
      </c>
      <c r="H412" s="418">
        <f>ROUND(G412,15)</f>
        <v>27335.9440397291</v>
      </c>
      <c r="I412" s="520"/>
    </row>
    <row r="413" spans="1:9" ht="15.75" thickTop="1" thickBot="1">
      <c r="A413" s="307" t="s">
        <v>298</v>
      </c>
      <c r="B413" s="308"/>
      <c r="C413" s="308" t="s">
        <v>38</v>
      </c>
      <c r="D413" s="309"/>
      <c r="E413" s="310" t="s">
        <v>299</v>
      </c>
      <c r="F413" s="311"/>
      <c r="G413" s="312">
        <f>G432</f>
        <v>66402.593261635498</v>
      </c>
      <c r="H413" s="313">
        <f>ROUND(G413,15)</f>
        <v>66402.593261635498</v>
      </c>
      <c r="I413" s="520"/>
    </row>
    <row r="414" spans="1:9" ht="15" thickBot="1">
      <c r="A414" s="293" t="s">
        <v>300</v>
      </c>
      <c r="B414" s="294"/>
      <c r="C414" s="294" t="s">
        <v>38</v>
      </c>
      <c r="D414" s="295"/>
      <c r="E414" s="296" t="s">
        <v>301</v>
      </c>
      <c r="F414" s="297"/>
      <c r="G414" s="298">
        <f>G425</f>
        <v>25773.675189213551</v>
      </c>
      <c r="H414" s="299">
        <f>ROUND(G414,15)</f>
        <v>25773.675189213602</v>
      </c>
      <c r="I414" s="520"/>
    </row>
    <row r="415" spans="1:9" ht="26.1" customHeight="1" thickTop="1" thickBot="1">
      <c r="A415" s="90">
        <v>91341</v>
      </c>
      <c r="B415" s="91" t="s">
        <v>45</v>
      </c>
      <c r="C415" s="54" t="s">
        <v>46</v>
      </c>
      <c r="D415" s="54" t="s">
        <v>49</v>
      </c>
      <c r="E415" s="55" t="s">
        <v>302</v>
      </c>
      <c r="F415" s="436">
        <f>ROUND(9.24,15)</f>
        <v>9.24</v>
      </c>
      <c r="G415" s="437">
        <f t="shared" ref="G415:G424" si="79">I415*(100%-$I$14)</f>
        <v>428.11932954285044</v>
      </c>
      <c r="H415" s="438">
        <f t="shared" ref="H415:H424" si="80">ROUND(F415*G415,15)</f>
        <v>3955.8226049759401</v>
      </c>
      <c r="I415" s="520">
        <v>513.80999999999995</v>
      </c>
    </row>
    <row r="416" spans="1:9" ht="36" customHeight="1" thickBot="1">
      <c r="A416" s="92">
        <v>90796</v>
      </c>
      <c r="B416" s="93" t="s">
        <v>45</v>
      </c>
      <c r="C416" s="58" t="s">
        <v>46</v>
      </c>
      <c r="D416" s="58" t="s">
        <v>47</v>
      </c>
      <c r="E416" s="59" t="s">
        <v>1506</v>
      </c>
      <c r="F416" s="437">
        <f>ROUND(20,15)</f>
        <v>20</v>
      </c>
      <c r="G416" s="437">
        <f t="shared" si="79"/>
        <v>425.28636459385052</v>
      </c>
      <c r="H416" s="439">
        <f t="shared" si="80"/>
        <v>8505.7272918770104</v>
      </c>
      <c r="I416" s="520">
        <v>510.41</v>
      </c>
    </row>
    <row r="417" spans="1:9" ht="36" customHeight="1" thickBot="1">
      <c r="A417" s="92" t="s">
        <v>1505</v>
      </c>
      <c r="B417" s="93" t="s">
        <v>148</v>
      </c>
      <c r="C417" s="58" t="s">
        <v>46</v>
      </c>
      <c r="D417" s="58" t="s">
        <v>47</v>
      </c>
      <c r="E417" s="59" t="s">
        <v>1507</v>
      </c>
      <c r="F417" s="437">
        <f>ROUND(4,15)</f>
        <v>4</v>
      </c>
      <c r="G417" s="437">
        <f t="shared" si="79"/>
        <v>433.56028869490052</v>
      </c>
      <c r="H417" s="439">
        <f t="shared" si="80"/>
        <v>1734.2411547796</v>
      </c>
      <c r="I417" s="520">
        <v>520.34</v>
      </c>
    </row>
    <row r="418" spans="1:9" ht="36" customHeight="1" thickBot="1">
      <c r="A418" s="92" t="s">
        <v>303</v>
      </c>
      <c r="B418" s="93" t="s">
        <v>148</v>
      </c>
      <c r="C418" s="58" t="s">
        <v>46</v>
      </c>
      <c r="D418" s="58" t="s">
        <v>47</v>
      </c>
      <c r="E418" s="59" t="s">
        <v>1345</v>
      </c>
      <c r="F418" s="437">
        <f>ROUND(1,15)</f>
        <v>1</v>
      </c>
      <c r="G418" s="437">
        <f t="shared" si="79"/>
        <v>1224.2658027103514</v>
      </c>
      <c r="H418" s="439">
        <f t="shared" si="80"/>
        <v>1224.26580271035</v>
      </c>
      <c r="I418" s="520">
        <v>1469.31</v>
      </c>
    </row>
    <row r="419" spans="1:9" ht="26.1" customHeight="1" thickBot="1">
      <c r="A419" s="92" t="s">
        <v>304</v>
      </c>
      <c r="B419" s="93" t="s">
        <v>148</v>
      </c>
      <c r="C419" s="58" t="s">
        <v>46</v>
      </c>
      <c r="D419" s="58" t="s">
        <v>49</v>
      </c>
      <c r="E419" s="59" t="s">
        <v>1341</v>
      </c>
      <c r="F419" s="437">
        <f>ROUND(1.68,15)</f>
        <v>1.68</v>
      </c>
      <c r="G419" s="437">
        <f t="shared" si="79"/>
        <v>226.10393192960026</v>
      </c>
      <c r="H419" s="439">
        <f t="shared" si="80"/>
        <v>379.85460564172803</v>
      </c>
      <c r="I419" s="520">
        <v>271.36</v>
      </c>
    </row>
    <row r="420" spans="1:9" ht="26.1" customHeight="1" thickBot="1">
      <c r="A420" s="92" t="s">
        <v>305</v>
      </c>
      <c r="B420" s="93" t="s">
        <v>57</v>
      </c>
      <c r="C420" s="58" t="s">
        <v>46</v>
      </c>
      <c r="D420" s="58" t="s">
        <v>47</v>
      </c>
      <c r="E420" s="59" t="s">
        <v>1340</v>
      </c>
      <c r="F420" s="437">
        <f>ROUND(8,15)</f>
        <v>8</v>
      </c>
      <c r="G420" s="437">
        <f t="shared" si="79"/>
        <v>262.9658052660003</v>
      </c>
      <c r="H420" s="439">
        <f t="shared" si="80"/>
        <v>2103.7264421280001</v>
      </c>
      <c r="I420" s="520">
        <v>315.60000000000002</v>
      </c>
    </row>
    <row r="421" spans="1:9" ht="15" thickBot="1">
      <c r="A421" s="94" t="s">
        <v>306</v>
      </c>
      <c r="B421" s="95" t="s">
        <v>148</v>
      </c>
      <c r="C421" s="74" t="s">
        <v>46</v>
      </c>
      <c r="D421" s="74" t="s">
        <v>47</v>
      </c>
      <c r="E421" s="78" t="s">
        <v>307</v>
      </c>
      <c r="F421" s="440">
        <f>ROUND(4,15)</f>
        <v>4</v>
      </c>
      <c r="G421" s="437">
        <f t="shared" si="79"/>
        <v>307.07673597190035</v>
      </c>
      <c r="H421" s="441">
        <f t="shared" si="80"/>
        <v>1228.3069438876</v>
      </c>
      <c r="I421" s="520">
        <v>368.54</v>
      </c>
    </row>
    <row r="422" spans="1:9" ht="15" thickBot="1">
      <c r="A422" s="94" t="s">
        <v>308</v>
      </c>
      <c r="B422" s="95" t="s">
        <v>57</v>
      </c>
      <c r="C422" s="74" t="s">
        <v>46</v>
      </c>
      <c r="D422" s="74" t="s">
        <v>49</v>
      </c>
      <c r="E422" s="78" t="s">
        <v>309</v>
      </c>
      <c r="F422" s="440">
        <f>ROUND(6.62,15)</f>
        <v>6.62</v>
      </c>
      <c r="G422" s="437">
        <f t="shared" si="79"/>
        <v>444.54219399720051</v>
      </c>
      <c r="H422" s="441">
        <f t="shared" si="80"/>
        <v>2942.86932426147</v>
      </c>
      <c r="I422" s="520">
        <v>533.52</v>
      </c>
    </row>
    <row r="423" spans="1:9" ht="26.1" customHeight="1" thickBot="1">
      <c r="A423" s="92">
        <v>100702</v>
      </c>
      <c r="B423" s="93" t="s">
        <v>45</v>
      </c>
      <c r="C423" s="58" t="s">
        <v>46</v>
      </c>
      <c r="D423" s="58" t="s">
        <v>49</v>
      </c>
      <c r="E423" s="59" t="s">
        <v>310</v>
      </c>
      <c r="F423" s="437">
        <f>ROUND(6.72,15)</f>
        <v>6.72</v>
      </c>
      <c r="G423" s="437">
        <f t="shared" si="79"/>
        <v>351.47096317270041</v>
      </c>
      <c r="H423" s="439">
        <f t="shared" si="80"/>
        <v>2361.8848725205498</v>
      </c>
      <c r="I423" s="520">
        <v>421.82</v>
      </c>
    </row>
    <row r="424" spans="1:9" ht="36" customHeight="1" thickBot="1">
      <c r="A424" s="96" t="s">
        <v>1503</v>
      </c>
      <c r="B424" s="97" t="s">
        <v>148</v>
      </c>
      <c r="C424" s="60" t="s">
        <v>46</v>
      </c>
      <c r="D424" s="60" t="s">
        <v>47</v>
      </c>
      <c r="E424" s="61" t="s">
        <v>1504</v>
      </c>
      <c r="F424" s="442">
        <f>ROUND(3,15)</f>
        <v>3</v>
      </c>
      <c r="G424" s="437">
        <f t="shared" si="79"/>
        <v>445.65871547710054</v>
      </c>
      <c r="H424" s="443">
        <f t="shared" si="80"/>
        <v>1336.9761464313001</v>
      </c>
      <c r="I424" s="520">
        <v>534.86</v>
      </c>
    </row>
    <row r="425" spans="1:9" ht="15.75" thickTop="1" thickBot="1">
      <c r="A425" s="75"/>
      <c r="B425" s="76"/>
      <c r="C425" s="76"/>
      <c r="D425" s="77"/>
      <c r="E425" s="415" t="s">
        <v>300</v>
      </c>
      <c r="F425" s="416"/>
      <c r="G425" s="417">
        <f>H415+H416+H417+H418+H419+H420+H421+H422+H423+H424</f>
        <v>25773.675189213551</v>
      </c>
      <c r="H425" s="418">
        <f>ROUND(G425,15)</f>
        <v>25773.675189213602</v>
      </c>
      <c r="I425" s="520"/>
    </row>
    <row r="426" spans="1:9" ht="15.75" thickTop="1" thickBot="1">
      <c r="A426" s="300" t="s">
        <v>311</v>
      </c>
      <c r="B426" s="301"/>
      <c r="C426" s="301" t="s">
        <v>38</v>
      </c>
      <c r="D426" s="302"/>
      <c r="E426" s="303" t="s">
        <v>312</v>
      </c>
      <c r="F426" s="304"/>
      <c r="G426" s="305">
        <f>G431</f>
        <v>40628.918072421904</v>
      </c>
      <c r="H426" s="306">
        <f>ROUND(G426,15)</f>
        <v>40628.918072421897</v>
      </c>
      <c r="I426" s="520"/>
    </row>
    <row r="427" spans="1:9" ht="26.1" customHeight="1" thickTop="1" thickBot="1">
      <c r="A427" s="90" t="s">
        <v>313</v>
      </c>
      <c r="B427" s="91" t="s">
        <v>148</v>
      </c>
      <c r="C427" s="54" t="s">
        <v>46</v>
      </c>
      <c r="D427" s="54" t="s">
        <v>49</v>
      </c>
      <c r="E427" s="55" t="s">
        <v>1346</v>
      </c>
      <c r="F427" s="436">
        <f>ROUND(59.52,15)</f>
        <v>59.52</v>
      </c>
      <c r="G427" s="437">
        <f t="shared" ref="G427:G430" si="81">I427*(100%-$I$14)</f>
        <v>294.58669344675036</v>
      </c>
      <c r="H427" s="438">
        <f>ROUND(F427*G427,15)</f>
        <v>17533.799993950601</v>
      </c>
      <c r="I427" s="520">
        <v>353.55</v>
      </c>
    </row>
    <row r="428" spans="1:9" ht="26.1" customHeight="1" thickBot="1">
      <c r="A428" s="92" t="s">
        <v>315</v>
      </c>
      <c r="B428" s="93" t="s">
        <v>148</v>
      </c>
      <c r="C428" s="58" t="s">
        <v>46</v>
      </c>
      <c r="D428" s="58" t="s">
        <v>49</v>
      </c>
      <c r="E428" s="59" t="s">
        <v>1347</v>
      </c>
      <c r="F428" s="437">
        <f>ROUND(14.4,15)</f>
        <v>14.4</v>
      </c>
      <c r="G428" s="437">
        <f t="shared" si="81"/>
        <v>250.25912424475032</v>
      </c>
      <c r="H428" s="439">
        <f>ROUND(F428*G428,15)</f>
        <v>3603.7313891243998</v>
      </c>
      <c r="I428" s="520">
        <v>300.35000000000002</v>
      </c>
    </row>
    <row r="429" spans="1:9" ht="26.1" customHeight="1" thickBot="1">
      <c r="A429" s="92" t="s">
        <v>316</v>
      </c>
      <c r="B429" s="93" t="s">
        <v>57</v>
      </c>
      <c r="C429" s="58" t="s">
        <v>46</v>
      </c>
      <c r="D429" s="58" t="s">
        <v>49</v>
      </c>
      <c r="E429" s="59" t="s">
        <v>317</v>
      </c>
      <c r="F429" s="437">
        <f>ROUND(20.43,15)</f>
        <v>20.43</v>
      </c>
      <c r="G429" s="437">
        <f t="shared" si="81"/>
        <v>389.92429623045047</v>
      </c>
      <c r="H429" s="439">
        <f>ROUND(F429*G429,15)</f>
        <v>7966.1533719880999</v>
      </c>
      <c r="I429" s="520">
        <v>467.97</v>
      </c>
    </row>
    <row r="430" spans="1:9" ht="36" customHeight="1" thickBot="1">
      <c r="A430" s="96">
        <v>94559</v>
      </c>
      <c r="B430" s="97" t="s">
        <v>45</v>
      </c>
      <c r="C430" s="60" t="s">
        <v>46</v>
      </c>
      <c r="D430" s="60" t="s">
        <v>49</v>
      </c>
      <c r="E430" s="61" t="s">
        <v>1348</v>
      </c>
      <c r="F430" s="442">
        <f>ROUND(22.68,15)</f>
        <v>22.68</v>
      </c>
      <c r="G430" s="437">
        <f t="shared" si="81"/>
        <v>508.16725385180058</v>
      </c>
      <c r="H430" s="443">
        <f>ROUND(F430*G430,15)</f>
        <v>11525.233317358799</v>
      </c>
      <c r="I430" s="520">
        <v>609.88</v>
      </c>
    </row>
    <row r="431" spans="1:9" ht="15.75" thickTop="1" thickBot="1">
      <c r="A431" s="35"/>
      <c r="B431" s="36"/>
      <c r="C431" s="36"/>
      <c r="D431" s="37"/>
      <c r="E431" s="394" t="s">
        <v>311</v>
      </c>
      <c r="F431" s="395"/>
      <c r="G431" s="396">
        <f>H427+H428+H429+H430</f>
        <v>40628.918072421904</v>
      </c>
      <c r="H431" s="397">
        <f>ROUND(G431,15)</f>
        <v>40628.918072421897</v>
      </c>
      <c r="I431" s="520"/>
    </row>
    <row r="432" spans="1:9" ht="15" thickBot="1">
      <c r="A432" s="111"/>
      <c r="B432" s="38"/>
      <c r="C432" s="38"/>
      <c r="D432" s="38"/>
      <c r="E432" s="398" t="s">
        <v>298</v>
      </c>
      <c r="F432" s="399"/>
      <c r="G432" s="400">
        <f>H425+H431</f>
        <v>66402.593261635498</v>
      </c>
      <c r="H432" s="401">
        <f>ROUND(G432,15)</f>
        <v>66402.593261635498</v>
      </c>
      <c r="I432" s="520"/>
    </row>
    <row r="433" spans="1:9" ht="15.75" thickTop="1" thickBot="1">
      <c r="A433" s="272" t="s">
        <v>318</v>
      </c>
      <c r="B433" s="273"/>
      <c r="C433" s="273" t="s">
        <v>38</v>
      </c>
      <c r="D433" s="274"/>
      <c r="E433" s="275" t="s">
        <v>319</v>
      </c>
      <c r="F433" s="276"/>
      <c r="G433" s="277">
        <f>G435</f>
        <v>10259.9708456465</v>
      </c>
      <c r="H433" s="278">
        <f>ROUND(G433,15)</f>
        <v>10259.9708456465</v>
      </c>
      <c r="I433" s="520"/>
    </row>
    <row r="434" spans="1:9" ht="15.75" thickTop="1" thickBot="1">
      <c r="A434" s="109">
        <v>85005</v>
      </c>
      <c r="B434" s="110" t="s">
        <v>45</v>
      </c>
      <c r="C434" s="89" t="s">
        <v>46</v>
      </c>
      <c r="D434" s="89" t="s">
        <v>49</v>
      </c>
      <c r="E434" s="108" t="s">
        <v>320</v>
      </c>
      <c r="F434" s="513">
        <f>ROUND(25.8,15)</f>
        <v>25.8</v>
      </c>
      <c r="G434" s="437">
        <f t="shared" ref="G434" si="82">I434*(100%-$I$14)</f>
        <v>397.67328859095045</v>
      </c>
      <c r="H434" s="514">
        <f>ROUND(F434*G434,15)</f>
        <v>10259.9708456465</v>
      </c>
      <c r="I434" s="520">
        <v>477.27</v>
      </c>
    </row>
    <row r="435" spans="1:9" ht="15.75" thickTop="1" thickBot="1">
      <c r="A435" s="75"/>
      <c r="B435" s="76"/>
      <c r="C435" s="76"/>
      <c r="D435" s="77"/>
      <c r="E435" s="386" t="s">
        <v>318</v>
      </c>
      <c r="F435" s="387"/>
      <c r="G435" s="388">
        <f>H434</f>
        <v>10259.9708456465</v>
      </c>
      <c r="H435" s="389">
        <f>ROUND(G435,15)</f>
        <v>10259.9708456465</v>
      </c>
      <c r="I435" s="520"/>
    </row>
    <row r="436" spans="1:9" ht="15.75" thickTop="1" thickBot="1">
      <c r="A436" s="272" t="s">
        <v>321</v>
      </c>
      <c r="B436" s="273"/>
      <c r="C436" s="273" t="s">
        <v>38</v>
      </c>
      <c r="D436" s="274"/>
      <c r="E436" s="275" t="s">
        <v>322</v>
      </c>
      <c r="F436" s="276"/>
      <c r="G436" s="277">
        <f>G442</f>
        <v>120049.46021295388</v>
      </c>
      <c r="H436" s="278">
        <f>ROUND(G436,15)</f>
        <v>120049.460212954</v>
      </c>
      <c r="I436" s="520"/>
    </row>
    <row r="437" spans="1:9" ht="26.1" customHeight="1" thickTop="1" thickBot="1">
      <c r="A437" s="90">
        <v>94213</v>
      </c>
      <c r="B437" s="91" t="s">
        <v>45</v>
      </c>
      <c r="C437" s="54" t="s">
        <v>46</v>
      </c>
      <c r="D437" s="54" t="s">
        <v>49</v>
      </c>
      <c r="E437" s="55" t="s">
        <v>1432</v>
      </c>
      <c r="F437" s="436">
        <f>ROUND(547.35,15)</f>
        <v>547.35</v>
      </c>
      <c r="G437" s="437">
        <f t="shared" ref="G437:G441" si="83">I437*(100%-$I$14)</f>
        <v>69.024357757400082</v>
      </c>
      <c r="H437" s="438">
        <f>ROUND(F437*G437,15)</f>
        <v>37780.482218512901</v>
      </c>
      <c r="I437" s="520">
        <v>82.84</v>
      </c>
    </row>
    <row r="438" spans="1:9" ht="26.1" customHeight="1" thickBot="1">
      <c r="A438" s="92">
        <v>94227</v>
      </c>
      <c r="B438" s="93" t="s">
        <v>45</v>
      </c>
      <c r="C438" s="58" t="s">
        <v>46</v>
      </c>
      <c r="D438" s="58" t="s">
        <v>68</v>
      </c>
      <c r="E438" s="59" t="s">
        <v>324</v>
      </c>
      <c r="F438" s="437">
        <f>ROUND(47.26,15)</f>
        <v>47.26</v>
      </c>
      <c r="G438" s="437">
        <f t="shared" si="83"/>
        <v>42.219509989950048</v>
      </c>
      <c r="H438" s="439">
        <f>ROUND(F438*G438,15)</f>
        <v>1995.2940421250401</v>
      </c>
      <c r="I438" s="520">
        <v>50.67</v>
      </c>
    </row>
    <row r="439" spans="1:9" ht="26.1" customHeight="1" thickBot="1">
      <c r="A439" s="92">
        <v>94231</v>
      </c>
      <c r="B439" s="93" t="s">
        <v>45</v>
      </c>
      <c r="C439" s="58" t="s">
        <v>46</v>
      </c>
      <c r="D439" s="58" t="s">
        <v>68</v>
      </c>
      <c r="E439" s="59" t="s">
        <v>325</v>
      </c>
      <c r="F439" s="437">
        <f>ROUND(163.34,15)</f>
        <v>163.34</v>
      </c>
      <c r="G439" s="437">
        <f t="shared" si="83"/>
        <v>33.953918138750041</v>
      </c>
      <c r="H439" s="439">
        <f>ROUND(F439*G439,15)</f>
        <v>5546.0329887834296</v>
      </c>
      <c r="I439" s="520">
        <v>40.75</v>
      </c>
    </row>
    <row r="440" spans="1:9" ht="15.95" customHeight="1" thickBot="1">
      <c r="A440" s="94" t="s">
        <v>326</v>
      </c>
      <c r="B440" s="95" t="s">
        <v>327</v>
      </c>
      <c r="C440" s="74" t="s">
        <v>46</v>
      </c>
      <c r="D440" s="74" t="s">
        <v>49</v>
      </c>
      <c r="E440" s="78" t="s">
        <v>1433</v>
      </c>
      <c r="F440" s="440">
        <f>ROUND(65.63,15)</f>
        <v>65.63</v>
      </c>
      <c r="G440" s="437">
        <f t="shared" si="83"/>
        <v>334.00656748710043</v>
      </c>
      <c r="H440" s="441">
        <f>ROUND(F440*G440,15)</f>
        <v>21920.851024178399</v>
      </c>
      <c r="I440" s="520">
        <v>400.86</v>
      </c>
    </row>
    <row r="441" spans="1:9" ht="15.95" customHeight="1" thickBot="1">
      <c r="A441" s="102" t="s">
        <v>328</v>
      </c>
      <c r="B441" s="103" t="s">
        <v>329</v>
      </c>
      <c r="C441" s="66" t="s">
        <v>46</v>
      </c>
      <c r="D441" s="66" t="s">
        <v>49</v>
      </c>
      <c r="E441" s="67" t="s">
        <v>1342</v>
      </c>
      <c r="F441" s="450">
        <f>ROUND(204.44,15)</f>
        <v>204.44</v>
      </c>
      <c r="G441" s="437">
        <f t="shared" si="83"/>
        <v>258.29974535000031</v>
      </c>
      <c r="H441" s="451">
        <f>ROUND(F441*G441,15)</f>
        <v>52806.799939354103</v>
      </c>
      <c r="I441" s="520">
        <v>310</v>
      </c>
    </row>
    <row r="442" spans="1:9" ht="15.75" thickTop="1" thickBot="1">
      <c r="A442" s="75"/>
      <c r="B442" s="76"/>
      <c r="C442" s="76"/>
      <c r="D442" s="77"/>
      <c r="E442" s="501" t="s">
        <v>321</v>
      </c>
      <c r="F442" s="408"/>
      <c r="G442" s="409">
        <f>H437+H438+H439+H440+H441</f>
        <v>120049.46021295388</v>
      </c>
      <c r="H442" s="502">
        <f>ROUND(G442,15)</f>
        <v>120049.460212954</v>
      </c>
      <c r="I442" s="520"/>
    </row>
    <row r="443" spans="1:9" ht="15.75" thickTop="1" thickBot="1">
      <c r="A443" s="307" t="s">
        <v>330</v>
      </c>
      <c r="B443" s="308"/>
      <c r="C443" s="308" t="s">
        <v>38</v>
      </c>
      <c r="D443" s="309"/>
      <c r="E443" s="310" t="s">
        <v>331</v>
      </c>
      <c r="F443" s="311"/>
      <c r="G443" s="312">
        <f>G490</f>
        <v>400331.11156452098</v>
      </c>
      <c r="H443" s="313">
        <f>ROUND(G443,15)</f>
        <v>400331.11156452098</v>
      </c>
      <c r="I443" s="520"/>
    </row>
    <row r="444" spans="1:9" ht="15" thickBot="1">
      <c r="A444" s="293" t="s">
        <v>332</v>
      </c>
      <c r="B444" s="294"/>
      <c r="C444" s="294" t="s">
        <v>38</v>
      </c>
      <c r="D444" s="295"/>
      <c r="E444" s="296" t="s">
        <v>333</v>
      </c>
      <c r="F444" s="297"/>
      <c r="G444" s="298">
        <f>G450</f>
        <v>119759.42751066269</v>
      </c>
      <c r="H444" s="299">
        <f>ROUND(G444,15)</f>
        <v>119759.42751066299</v>
      </c>
      <c r="I444" s="520"/>
    </row>
    <row r="445" spans="1:9" ht="26.1" customHeight="1" thickTop="1" thickBot="1">
      <c r="A445" s="90">
        <v>87263</v>
      </c>
      <c r="B445" s="91" t="s">
        <v>45</v>
      </c>
      <c r="C445" s="54" t="s">
        <v>46</v>
      </c>
      <c r="D445" s="54" t="s">
        <v>49</v>
      </c>
      <c r="E445" s="55" t="s">
        <v>334</v>
      </c>
      <c r="F445" s="436">
        <f>ROUND(223.18,15)</f>
        <v>223.18</v>
      </c>
      <c r="G445" s="437">
        <f t="shared" ref="G445:G449" si="84">I445*(100%-$I$14)</f>
        <v>81.256100537200098</v>
      </c>
      <c r="H445" s="438">
        <f>ROUND(F445*G445,15)</f>
        <v>18134.736517892299</v>
      </c>
      <c r="I445" s="520">
        <v>97.52</v>
      </c>
    </row>
    <row r="446" spans="1:9" ht="15" thickBot="1">
      <c r="A446" s="119">
        <v>101752</v>
      </c>
      <c r="B446" s="120" t="s">
        <v>45</v>
      </c>
      <c r="C446" s="118" t="s">
        <v>46</v>
      </c>
      <c r="D446" s="118" t="s">
        <v>49</v>
      </c>
      <c r="E446" s="121" t="s">
        <v>335</v>
      </c>
      <c r="F446" s="518">
        <f>ROUND(720.42,15)</f>
        <v>720.42</v>
      </c>
      <c r="G446" s="437">
        <f t="shared" si="84"/>
        <v>28.996229478000032</v>
      </c>
      <c r="H446" s="519">
        <f>ROUND(F446*G446,15)</f>
        <v>20889.463640540798</v>
      </c>
      <c r="I446" s="520">
        <v>34.799999999999997</v>
      </c>
    </row>
    <row r="447" spans="1:9" ht="15" thickBot="1">
      <c r="A447" s="94" t="s">
        <v>336</v>
      </c>
      <c r="B447" s="95" t="s">
        <v>148</v>
      </c>
      <c r="C447" s="74" t="s">
        <v>46</v>
      </c>
      <c r="D447" s="74" t="s">
        <v>49</v>
      </c>
      <c r="E447" s="78" t="s">
        <v>337</v>
      </c>
      <c r="F447" s="440">
        <f>ROUND(14.56,15)</f>
        <v>14.56</v>
      </c>
      <c r="G447" s="437">
        <f t="shared" si="84"/>
        <v>28.996229478000032</v>
      </c>
      <c r="H447" s="441">
        <f>ROUND(F447*G447,15)</f>
        <v>422.18510119968101</v>
      </c>
      <c r="I447" s="520">
        <v>34.799999999999997</v>
      </c>
    </row>
    <row r="448" spans="1:9" ht="26.1" customHeight="1" thickBot="1">
      <c r="A448" s="92">
        <v>94995</v>
      </c>
      <c r="B448" s="93" t="s">
        <v>45</v>
      </c>
      <c r="C448" s="58" t="s">
        <v>46</v>
      </c>
      <c r="D448" s="58" t="s">
        <v>49</v>
      </c>
      <c r="E448" s="59" t="s">
        <v>338</v>
      </c>
      <c r="F448" s="437">
        <f>ROUND(1011.64,15)</f>
        <v>1011.64</v>
      </c>
      <c r="G448" s="437">
        <f t="shared" si="84"/>
        <v>62.616857622750075</v>
      </c>
      <c r="H448" s="439">
        <f>ROUND(F448*G448,15)</f>
        <v>63345.717845478903</v>
      </c>
      <c r="I448" s="520">
        <v>75.150000000000006</v>
      </c>
    </row>
    <row r="449" spans="1:9" ht="26.1" customHeight="1" thickBot="1">
      <c r="A449" s="96" t="s">
        <v>339</v>
      </c>
      <c r="B449" s="97" t="s">
        <v>57</v>
      </c>
      <c r="C449" s="60" t="s">
        <v>46</v>
      </c>
      <c r="D449" s="60" t="s">
        <v>49</v>
      </c>
      <c r="E449" s="61" t="s">
        <v>340</v>
      </c>
      <c r="F449" s="442">
        <f>ROUND(240.39,15)</f>
        <v>240.39</v>
      </c>
      <c r="G449" s="437">
        <f t="shared" si="84"/>
        <v>70.582488479350076</v>
      </c>
      <c r="H449" s="443">
        <f>ROUND(F449*G449,15)</f>
        <v>16967.324405551</v>
      </c>
      <c r="I449" s="520">
        <v>84.71</v>
      </c>
    </row>
    <row r="450" spans="1:9" ht="15.75" thickTop="1" thickBot="1">
      <c r="A450" s="51"/>
      <c r="B450" s="52"/>
      <c r="C450" s="52"/>
      <c r="D450" s="53"/>
      <c r="E450" s="386" t="s">
        <v>332</v>
      </c>
      <c r="F450" s="387"/>
      <c r="G450" s="388">
        <f>H445+H446+H447+H448+H449</f>
        <v>119759.42751066269</v>
      </c>
      <c r="H450" s="389">
        <f>ROUND(G450,15)</f>
        <v>119759.42751066299</v>
      </c>
      <c r="I450" s="520"/>
    </row>
    <row r="451" spans="1:9" ht="15.75" thickTop="1" thickBot="1">
      <c r="A451" s="300" t="s">
        <v>341</v>
      </c>
      <c r="B451" s="301"/>
      <c r="C451" s="301" t="s">
        <v>38</v>
      </c>
      <c r="D451" s="302"/>
      <c r="E451" s="303" t="s">
        <v>342</v>
      </c>
      <c r="F451" s="304"/>
      <c r="G451" s="305">
        <f>G454</f>
        <v>42921.049681968099</v>
      </c>
      <c r="H451" s="306">
        <f>ROUND(G451,15)</f>
        <v>42921.049681968099</v>
      </c>
      <c r="I451" s="520"/>
    </row>
    <row r="452" spans="1:9" ht="26.1" customHeight="1" thickTop="1" thickBot="1">
      <c r="A452" s="90">
        <v>87242</v>
      </c>
      <c r="B452" s="91" t="s">
        <v>45</v>
      </c>
      <c r="C452" s="54" t="s">
        <v>46</v>
      </c>
      <c r="D452" s="54" t="s">
        <v>49</v>
      </c>
      <c r="E452" s="55" t="s">
        <v>343</v>
      </c>
      <c r="F452" s="436">
        <f>ROUND(104.98,15)</f>
        <v>104.98</v>
      </c>
      <c r="G452" s="437">
        <f t="shared" ref="G452:G453" si="85">I452*(100%-$I$14)</f>
        <v>150.61374828860016</v>
      </c>
      <c r="H452" s="438">
        <f>ROUND(F452*G452,15)</f>
        <v>15811.431295337199</v>
      </c>
      <c r="I452" s="520">
        <v>180.76</v>
      </c>
    </row>
    <row r="453" spans="1:9" ht="15.95" customHeight="1" thickBot="1">
      <c r="A453" s="102" t="s">
        <v>344</v>
      </c>
      <c r="B453" s="103" t="s">
        <v>148</v>
      </c>
      <c r="C453" s="66" t="s">
        <v>46</v>
      </c>
      <c r="D453" s="66" t="s">
        <v>49</v>
      </c>
      <c r="E453" s="67" t="s">
        <v>1343</v>
      </c>
      <c r="F453" s="450">
        <f>ROUND(342.59,15)</f>
        <v>342.59</v>
      </c>
      <c r="G453" s="457">
        <f t="shared" si="85"/>
        <v>79.13137682545009</v>
      </c>
      <c r="H453" s="451">
        <f>ROUND(F453*G453,15)</f>
        <v>27109.6183866309</v>
      </c>
      <c r="I453" s="520">
        <v>94.97</v>
      </c>
    </row>
    <row r="454" spans="1:9" ht="15.75" thickTop="1" thickBot="1">
      <c r="A454" s="75"/>
      <c r="B454" s="76"/>
      <c r="C454" s="76"/>
      <c r="D454" s="77"/>
      <c r="E454" s="411" t="s">
        <v>341</v>
      </c>
      <c r="F454" s="412"/>
      <c r="G454" s="388">
        <f>H452+H453</f>
        <v>42921.049681968099</v>
      </c>
      <c r="H454" s="414">
        <f>ROUND(G454,15)</f>
        <v>42921.049681968099</v>
      </c>
      <c r="I454" s="520"/>
    </row>
    <row r="455" spans="1:9" ht="15.75" thickTop="1" thickBot="1">
      <c r="A455" s="300" t="s">
        <v>345</v>
      </c>
      <c r="B455" s="301"/>
      <c r="C455" s="301" t="s">
        <v>38</v>
      </c>
      <c r="D455" s="302"/>
      <c r="E455" s="303" t="s">
        <v>346</v>
      </c>
      <c r="F455" s="304"/>
      <c r="G455" s="305">
        <f>G458</f>
        <v>61272.886219279702</v>
      </c>
      <c r="H455" s="306">
        <f>ROUND(G455,15)</f>
        <v>61272.886219279702</v>
      </c>
      <c r="I455" s="520"/>
    </row>
    <row r="456" spans="1:9" ht="26.1" customHeight="1" thickTop="1" thickBot="1">
      <c r="A456" s="90">
        <v>96114</v>
      </c>
      <c r="B456" s="91" t="s">
        <v>45</v>
      </c>
      <c r="C456" s="54" t="s">
        <v>46</v>
      </c>
      <c r="D456" s="54" t="s">
        <v>49</v>
      </c>
      <c r="E456" s="55" t="s">
        <v>347</v>
      </c>
      <c r="F456" s="436">
        <f>ROUND(628.56,15)</f>
        <v>628.55999999999995</v>
      </c>
      <c r="G456" s="437">
        <f t="shared" ref="G456:G457" si="86">I456*(100%-$I$14)</f>
        <v>39.361548291400048</v>
      </c>
      <c r="H456" s="438">
        <f>ROUND(F456*G456,15)</f>
        <v>24741.094794042401</v>
      </c>
      <c r="I456" s="520">
        <v>47.24</v>
      </c>
    </row>
    <row r="457" spans="1:9" ht="15.95" customHeight="1" thickBot="1">
      <c r="A457" s="102" t="s">
        <v>348</v>
      </c>
      <c r="B457" s="103" t="s">
        <v>57</v>
      </c>
      <c r="C457" s="66" t="s">
        <v>46</v>
      </c>
      <c r="D457" s="66" t="s">
        <v>49</v>
      </c>
      <c r="E457" s="67" t="s">
        <v>349</v>
      </c>
      <c r="F457" s="450">
        <f>ROUND(461.66,15)</f>
        <v>461.66</v>
      </c>
      <c r="G457" s="457">
        <f t="shared" si="86"/>
        <v>79.13137682545009</v>
      </c>
      <c r="H457" s="451">
        <f>ROUND(F457*G457,15)</f>
        <v>36531.791425237301</v>
      </c>
      <c r="I457" s="520">
        <v>94.97</v>
      </c>
    </row>
    <row r="458" spans="1:9" ht="15.75" thickTop="1" thickBot="1">
      <c r="A458" s="75"/>
      <c r="B458" s="76"/>
      <c r="C458" s="76"/>
      <c r="D458" s="77"/>
      <c r="E458" s="411" t="s">
        <v>345</v>
      </c>
      <c r="F458" s="412"/>
      <c r="G458" s="388">
        <f>H456+H457</f>
        <v>61272.886219279702</v>
      </c>
      <c r="H458" s="414">
        <f>ROUND(G458,15)</f>
        <v>61272.886219279702</v>
      </c>
      <c r="I458" s="520"/>
    </row>
    <row r="459" spans="1:9" ht="15.75" thickTop="1" thickBot="1">
      <c r="A459" s="314" t="s">
        <v>350</v>
      </c>
      <c r="B459" s="315"/>
      <c r="C459" s="315" t="s">
        <v>38</v>
      </c>
      <c r="D459" s="316"/>
      <c r="E459" s="317" t="s">
        <v>351</v>
      </c>
      <c r="F459" s="318"/>
      <c r="G459" s="319">
        <f>G478</f>
        <v>77015.887746208813</v>
      </c>
      <c r="H459" s="320">
        <f>ROUND(G459,15)</f>
        <v>77015.887746208798</v>
      </c>
      <c r="I459" s="520"/>
    </row>
    <row r="460" spans="1:9" ht="15" thickBot="1">
      <c r="A460" s="321" t="s">
        <v>352</v>
      </c>
      <c r="B460" s="322"/>
      <c r="C460" s="322" t="s">
        <v>38</v>
      </c>
      <c r="D460" s="323"/>
      <c r="E460" s="324" t="s">
        <v>353</v>
      </c>
      <c r="F460" s="325"/>
      <c r="G460" s="326">
        <f>G463</f>
        <v>34510.929791125003</v>
      </c>
      <c r="H460" s="327">
        <f>ROUND(G460,15)</f>
        <v>34510.929791125003</v>
      </c>
      <c r="I460" s="520"/>
    </row>
    <row r="461" spans="1:9" ht="15.75" thickTop="1" thickBot="1">
      <c r="A461" s="100">
        <v>88497</v>
      </c>
      <c r="B461" s="101" t="s">
        <v>45</v>
      </c>
      <c r="C461" s="64" t="s">
        <v>46</v>
      </c>
      <c r="D461" s="64" t="s">
        <v>49</v>
      </c>
      <c r="E461" s="65" t="s">
        <v>354</v>
      </c>
      <c r="F461" s="446">
        <f>ROUND(1544.89,15)</f>
        <v>1544.89</v>
      </c>
      <c r="G461" s="437">
        <f t="shared" ref="G461:G462" si="87">I461*(100%-$I$14)</f>
        <v>11.440179044050014</v>
      </c>
      <c r="H461" s="447">
        <f>ROUND(F461*G461,15)</f>
        <v>17673.8182033624</v>
      </c>
      <c r="I461" s="520">
        <v>13.73</v>
      </c>
    </row>
    <row r="462" spans="1:9" ht="26.1" customHeight="1" thickBot="1">
      <c r="A462" s="96">
        <v>88489</v>
      </c>
      <c r="B462" s="97" t="s">
        <v>45</v>
      </c>
      <c r="C462" s="60" t="s">
        <v>46</v>
      </c>
      <c r="D462" s="60" t="s">
        <v>49</v>
      </c>
      <c r="E462" s="61" t="s">
        <v>355</v>
      </c>
      <c r="F462" s="442">
        <f>ROUND(1544.89,15)</f>
        <v>1544.89</v>
      </c>
      <c r="G462" s="457">
        <f t="shared" si="87"/>
        <v>10.898582803800013</v>
      </c>
      <c r="H462" s="443">
        <f>ROUND(F462*G462,15)</f>
        <v>16837.1115877626</v>
      </c>
      <c r="I462" s="520">
        <v>13.08</v>
      </c>
    </row>
    <row r="463" spans="1:9" ht="15.75" thickTop="1" thickBot="1">
      <c r="A463" s="75"/>
      <c r="B463" s="76"/>
      <c r="C463" s="76"/>
      <c r="D463" s="77"/>
      <c r="E463" s="411" t="s">
        <v>352</v>
      </c>
      <c r="F463" s="412"/>
      <c r="G463" s="388">
        <f>H461+H462</f>
        <v>34510.929791125003</v>
      </c>
      <c r="H463" s="414">
        <f>ROUND(G463,15)</f>
        <v>34510.929791125003</v>
      </c>
      <c r="I463" s="520"/>
    </row>
    <row r="464" spans="1:9" ht="15.75" thickTop="1" thickBot="1">
      <c r="A464" s="328" t="s">
        <v>356</v>
      </c>
      <c r="B464" s="329"/>
      <c r="C464" s="329" t="s">
        <v>38</v>
      </c>
      <c r="D464" s="330"/>
      <c r="E464" s="331" t="s">
        <v>357</v>
      </c>
      <c r="F464" s="332"/>
      <c r="G464" s="333">
        <f>G467</f>
        <v>16411.68465811378</v>
      </c>
      <c r="H464" s="334">
        <f>ROUND(G464,15)</f>
        <v>16411.684658113802</v>
      </c>
      <c r="I464" s="520"/>
    </row>
    <row r="465" spans="1:9" ht="15.75" thickTop="1" thickBot="1">
      <c r="A465" s="100">
        <v>88494</v>
      </c>
      <c r="B465" s="101" t="s">
        <v>45</v>
      </c>
      <c r="C465" s="64" t="s">
        <v>46</v>
      </c>
      <c r="D465" s="64" t="s">
        <v>49</v>
      </c>
      <c r="E465" s="65" t="s">
        <v>358</v>
      </c>
      <c r="F465" s="446">
        <f>ROUND(662.07,15)</f>
        <v>662.07</v>
      </c>
      <c r="G465" s="437">
        <f t="shared" ref="G465:G466" si="88">I465*(100%-$I$14)</f>
        <v>15.164694727000017</v>
      </c>
      <c r="H465" s="447">
        <f>ROUND(F465*G465,15)</f>
        <v>10040.0894379049</v>
      </c>
      <c r="I465" s="520">
        <v>18.2</v>
      </c>
    </row>
    <row r="466" spans="1:9" ht="15" thickBot="1">
      <c r="A466" s="102">
        <v>88486</v>
      </c>
      <c r="B466" s="103" t="s">
        <v>45</v>
      </c>
      <c r="C466" s="66" t="s">
        <v>46</v>
      </c>
      <c r="D466" s="66" t="s">
        <v>49</v>
      </c>
      <c r="E466" s="67" t="s">
        <v>359</v>
      </c>
      <c r="F466" s="450">
        <f>ROUND(662.07,15)</f>
        <v>662.07</v>
      </c>
      <c r="G466" s="437">
        <f t="shared" si="88"/>
        <v>9.6237485767500122</v>
      </c>
      <c r="H466" s="451">
        <f>ROUND(F466*G466,15)</f>
        <v>6371.5952202088802</v>
      </c>
      <c r="I466" s="520">
        <v>11.55</v>
      </c>
    </row>
    <row r="467" spans="1:9" ht="15.75" thickTop="1" thickBot="1">
      <c r="A467" s="75"/>
      <c r="B467" s="76"/>
      <c r="C467" s="76"/>
      <c r="D467" s="77"/>
      <c r="E467" s="123" t="s">
        <v>356</v>
      </c>
      <c r="F467" s="124"/>
      <c r="G467" s="125">
        <f>H465+H466</f>
        <v>16411.68465811378</v>
      </c>
      <c r="H467" s="126">
        <f>ROUND(G467,15)</f>
        <v>16411.684658113802</v>
      </c>
      <c r="I467" s="520"/>
    </row>
    <row r="468" spans="1:9" ht="15.75" thickTop="1" thickBot="1">
      <c r="A468" s="328" t="s">
        <v>360</v>
      </c>
      <c r="B468" s="329"/>
      <c r="C468" s="329" t="s">
        <v>38</v>
      </c>
      <c r="D468" s="330"/>
      <c r="E468" s="331" t="s">
        <v>361</v>
      </c>
      <c r="F468" s="332"/>
      <c r="G468" s="333">
        <f>G471</f>
        <v>14773.06748554522</v>
      </c>
      <c r="H468" s="334">
        <f>ROUND(G468,15)</f>
        <v>14773.0674855452</v>
      </c>
      <c r="I468" s="520"/>
    </row>
    <row r="469" spans="1:9" ht="26.1" customHeight="1" thickTop="1" thickBot="1">
      <c r="A469" s="90">
        <v>88489</v>
      </c>
      <c r="B469" s="91" t="s">
        <v>45</v>
      </c>
      <c r="C469" s="54" t="s">
        <v>46</v>
      </c>
      <c r="D469" s="54" t="s">
        <v>49</v>
      </c>
      <c r="E469" s="55" t="s">
        <v>355</v>
      </c>
      <c r="F469" s="436">
        <f>ROUND(728.43,15)</f>
        <v>728.43</v>
      </c>
      <c r="G469" s="437">
        <f t="shared" ref="G469:G470" si="89">I469*(100%-$I$14)</f>
        <v>10.898582803800013</v>
      </c>
      <c r="H469" s="438">
        <f>ROUND(F469*G469,15)</f>
        <v>7938.8546717720401</v>
      </c>
      <c r="I469" s="520">
        <v>13.08</v>
      </c>
    </row>
    <row r="470" spans="1:9" ht="15" thickBot="1">
      <c r="A470" s="102" t="s">
        <v>362</v>
      </c>
      <c r="B470" s="103" t="s">
        <v>148</v>
      </c>
      <c r="C470" s="66" t="s">
        <v>46</v>
      </c>
      <c r="D470" s="66" t="s">
        <v>49</v>
      </c>
      <c r="E470" s="67" t="s">
        <v>363</v>
      </c>
      <c r="F470" s="450">
        <f>ROUND(728.43,15)</f>
        <v>728.43</v>
      </c>
      <c r="G470" s="437">
        <f t="shared" si="89"/>
        <v>9.38211333110001</v>
      </c>
      <c r="H470" s="451">
        <f>ROUND(F470*G470,15)</f>
        <v>6834.2128137731797</v>
      </c>
      <c r="I470" s="520">
        <v>11.26</v>
      </c>
    </row>
    <row r="471" spans="1:9" ht="15.75" thickTop="1" thickBot="1">
      <c r="A471" s="75"/>
      <c r="B471" s="76"/>
      <c r="C471" s="76"/>
      <c r="D471" s="77"/>
      <c r="E471" s="386" t="s">
        <v>360</v>
      </c>
      <c r="F471" s="387"/>
      <c r="G471" s="388">
        <f>H469+H470</f>
        <v>14773.06748554522</v>
      </c>
      <c r="H471" s="389">
        <f>ROUND(G471,15)</f>
        <v>14773.0674855452</v>
      </c>
      <c r="I471" s="520"/>
    </row>
    <row r="472" spans="1:9" ht="15.75" thickTop="1" thickBot="1">
      <c r="A472" s="328" t="s">
        <v>364</v>
      </c>
      <c r="B472" s="329"/>
      <c r="C472" s="329" t="s">
        <v>38</v>
      </c>
      <c r="D472" s="330"/>
      <c r="E472" s="331" t="s">
        <v>365</v>
      </c>
      <c r="F472" s="332"/>
      <c r="G472" s="333">
        <f>G474</f>
        <v>9710.4932969084002</v>
      </c>
      <c r="H472" s="334">
        <f>ROUND(G472,15)</f>
        <v>9710.4932969084002</v>
      </c>
      <c r="I472" s="520"/>
    </row>
    <row r="473" spans="1:9" ht="15.75" thickTop="1" thickBot="1">
      <c r="A473" s="109">
        <v>72815</v>
      </c>
      <c r="B473" s="110" t="s">
        <v>45</v>
      </c>
      <c r="C473" s="89" t="s">
        <v>46</v>
      </c>
      <c r="D473" s="89" t="s">
        <v>49</v>
      </c>
      <c r="E473" s="108" t="s">
        <v>366</v>
      </c>
      <c r="F473" s="513">
        <f>ROUND(240.39,15)</f>
        <v>240.39</v>
      </c>
      <c r="G473" s="457">
        <f t="shared" ref="G473" si="90">I473*(100%-$I$14)</f>
        <v>40.394747272800046</v>
      </c>
      <c r="H473" s="514">
        <f>ROUND(F473*G473,15)</f>
        <v>9710.4932969084002</v>
      </c>
      <c r="I473" s="520">
        <v>48.48</v>
      </c>
    </row>
    <row r="474" spans="1:9" ht="15.75" thickTop="1" thickBot="1">
      <c r="A474" s="75"/>
      <c r="B474" s="76"/>
      <c r="C474" s="76"/>
      <c r="D474" s="77"/>
      <c r="E474" s="411" t="s">
        <v>364</v>
      </c>
      <c r="F474" s="412"/>
      <c r="G474" s="388">
        <f>H473</f>
        <v>9710.4932969084002</v>
      </c>
      <c r="H474" s="414">
        <f>ROUND(G474,15)</f>
        <v>9710.4932969084002</v>
      </c>
      <c r="I474" s="520"/>
    </row>
    <row r="475" spans="1:9" ht="15.75" thickTop="1" thickBot="1">
      <c r="A475" s="328" t="s">
        <v>367</v>
      </c>
      <c r="B475" s="329"/>
      <c r="C475" s="329" t="s">
        <v>38</v>
      </c>
      <c r="D475" s="330"/>
      <c r="E475" s="331" t="s">
        <v>368</v>
      </c>
      <c r="F475" s="332"/>
      <c r="G475" s="333">
        <f>G477</f>
        <v>1609.71251451641</v>
      </c>
      <c r="H475" s="334">
        <f>ROUND(G475,15)</f>
        <v>1609.71251451641</v>
      </c>
      <c r="I475" s="520"/>
    </row>
    <row r="476" spans="1:9" ht="26.1" customHeight="1" thickTop="1" thickBot="1">
      <c r="A476" s="98" t="s">
        <v>1508</v>
      </c>
      <c r="B476" s="99" t="s">
        <v>1509</v>
      </c>
      <c r="C476" s="70" t="s">
        <v>46</v>
      </c>
      <c r="D476" s="70" t="s">
        <v>49</v>
      </c>
      <c r="E476" s="71" t="s">
        <v>1434</v>
      </c>
      <c r="F476" s="444">
        <f>ROUND(121.58,15)</f>
        <v>121.58</v>
      </c>
      <c r="G476" s="437">
        <f t="shared" ref="G476" si="91">I476*(100%-$I$14)</f>
        <v>13.239945011650017</v>
      </c>
      <c r="H476" s="445">
        <f>ROUND(F476*G476,15)</f>
        <v>1609.71251451641</v>
      </c>
      <c r="I476" s="520">
        <v>15.89</v>
      </c>
    </row>
    <row r="477" spans="1:9" ht="15.75" thickTop="1" thickBot="1">
      <c r="A477" s="85"/>
      <c r="B477" s="86"/>
      <c r="C477" s="86"/>
      <c r="D477" s="141"/>
      <c r="E477" s="394" t="s">
        <v>367</v>
      </c>
      <c r="F477" s="395"/>
      <c r="G477" s="396">
        <f>H476</f>
        <v>1609.71251451641</v>
      </c>
      <c r="H477" s="397">
        <f>ROUND(G477,15)</f>
        <v>1609.71251451641</v>
      </c>
      <c r="I477" s="520"/>
    </row>
    <row r="478" spans="1:9" ht="15" thickBot="1">
      <c r="A478" s="75"/>
      <c r="B478" s="76"/>
      <c r="C478" s="76"/>
      <c r="D478" s="77"/>
      <c r="E478" s="427" t="s">
        <v>350</v>
      </c>
      <c r="F478" s="428"/>
      <c r="G478" s="429">
        <f>H463+H467+H471+H474+H477</f>
        <v>77015.887746208813</v>
      </c>
      <c r="H478" s="430">
        <f>ROUND(G478,15)</f>
        <v>77015.887746208798</v>
      </c>
      <c r="I478" s="520"/>
    </row>
    <row r="479" spans="1:9" ht="15.75" thickTop="1" thickBot="1">
      <c r="A479" s="314" t="s">
        <v>369</v>
      </c>
      <c r="B479" s="315"/>
      <c r="C479" s="315" t="s">
        <v>38</v>
      </c>
      <c r="D479" s="316"/>
      <c r="E479" s="317" t="s">
        <v>370</v>
      </c>
      <c r="F479" s="318"/>
      <c r="G479" s="319">
        <f>G489</f>
        <v>99361.860406401393</v>
      </c>
      <c r="H479" s="320">
        <f>ROUND(G479,15)</f>
        <v>99361.860406401407</v>
      </c>
      <c r="I479" s="520"/>
    </row>
    <row r="480" spans="1:9" ht="15" thickBot="1">
      <c r="A480" s="321" t="s">
        <v>371</v>
      </c>
      <c r="B480" s="322"/>
      <c r="C480" s="322" t="s">
        <v>38</v>
      </c>
      <c r="D480" s="323"/>
      <c r="E480" s="324" t="s">
        <v>353</v>
      </c>
      <c r="F480" s="325"/>
      <c r="G480" s="326">
        <f>G484</f>
        <v>51259.157103612743</v>
      </c>
      <c r="H480" s="327">
        <f>ROUND(G480,15)</f>
        <v>51259.157103612699</v>
      </c>
      <c r="I480" s="520"/>
    </row>
    <row r="481" spans="1:9" ht="26.1" customHeight="1" thickTop="1" thickBot="1">
      <c r="A481" s="90">
        <v>87879</v>
      </c>
      <c r="B481" s="91" t="s">
        <v>45</v>
      </c>
      <c r="C481" s="54" t="s">
        <v>46</v>
      </c>
      <c r="D481" s="54" t="s">
        <v>49</v>
      </c>
      <c r="E481" s="55" t="s">
        <v>372</v>
      </c>
      <c r="F481" s="436">
        <f>ROUND(1887.48,15)</f>
        <v>1887.48</v>
      </c>
      <c r="G481" s="437">
        <f t="shared" ref="G481:G483" si="92">I481*(100%-$I$14)</f>
        <v>2.8412971988500035</v>
      </c>
      <c r="H481" s="438">
        <f>ROUND(F481*G481,15)</f>
        <v>5362.8916368853997</v>
      </c>
      <c r="I481" s="520">
        <v>3.41</v>
      </c>
    </row>
    <row r="482" spans="1:9" ht="36" customHeight="1" thickBot="1">
      <c r="A482" s="92">
        <v>87529</v>
      </c>
      <c r="B482" s="93" t="s">
        <v>45</v>
      </c>
      <c r="C482" s="58" t="s">
        <v>46</v>
      </c>
      <c r="D482" s="58" t="s">
        <v>49</v>
      </c>
      <c r="E482" s="59" t="s">
        <v>373</v>
      </c>
      <c r="F482" s="437">
        <f>ROUND(1544.89,15)</f>
        <v>1544.89</v>
      </c>
      <c r="G482" s="437">
        <f t="shared" si="92"/>
        <v>24.98008505030003</v>
      </c>
      <c r="H482" s="439">
        <f>ROUND(F482*G482,15)</f>
        <v>38591.483593358003</v>
      </c>
      <c r="I482" s="520">
        <v>29.98</v>
      </c>
    </row>
    <row r="483" spans="1:9" ht="36" customHeight="1" thickBot="1">
      <c r="A483" s="96">
        <v>87535</v>
      </c>
      <c r="B483" s="97" t="s">
        <v>45</v>
      </c>
      <c r="C483" s="60" t="s">
        <v>46</v>
      </c>
      <c r="D483" s="60" t="s">
        <v>49</v>
      </c>
      <c r="E483" s="61" t="s">
        <v>374</v>
      </c>
      <c r="F483" s="442">
        <f>ROUND(342.59,15)</f>
        <v>342.59</v>
      </c>
      <c r="G483" s="437">
        <f t="shared" si="92"/>
        <v>21.322227366150024</v>
      </c>
      <c r="H483" s="443">
        <f>ROUND(F483*G483,15)</f>
        <v>7304.7818733693402</v>
      </c>
      <c r="I483" s="520">
        <v>25.59</v>
      </c>
    </row>
    <row r="484" spans="1:9" ht="15.75" thickTop="1" thickBot="1">
      <c r="A484" s="75"/>
      <c r="B484" s="76"/>
      <c r="C484" s="76"/>
      <c r="D484" s="77"/>
      <c r="E484" s="386" t="s">
        <v>371</v>
      </c>
      <c r="F484" s="387"/>
      <c r="G484" s="388">
        <f>H481+H482+H483</f>
        <v>51259.157103612743</v>
      </c>
      <c r="H484" s="389">
        <f>ROUND(G484,15)</f>
        <v>51259.157103612699</v>
      </c>
      <c r="I484" s="520"/>
    </row>
    <row r="485" spans="1:9" ht="15.75" thickTop="1" thickBot="1">
      <c r="A485" s="328" t="s">
        <v>375</v>
      </c>
      <c r="B485" s="329"/>
      <c r="C485" s="329" t="s">
        <v>38</v>
      </c>
      <c r="D485" s="330"/>
      <c r="E485" s="331" t="s">
        <v>361</v>
      </c>
      <c r="F485" s="332"/>
      <c r="G485" s="333">
        <f>G488</f>
        <v>48102.703302788781</v>
      </c>
      <c r="H485" s="334">
        <f>ROUND(G485,15)</f>
        <v>48102.703302788701</v>
      </c>
      <c r="I485" s="520"/>
    </row>
    <row r="486" spans="1:9" ht="36" customHeight="1" thickTop="1" thickBot="1">
      <c r="A486" s="90">
        <v>87905</v>
      </c>
      <c r="B486" s="91" t="s">
        <v>45</v>
      </c>
      <c r="C486" s="54" t="s">
        <v>46</v>
      </c>
      <c r="D486" s="54" t="s">
        <v>49</v>
      </c>
      <c r="E486" s="55" t="s">
        <v>376</v>
      </c>
      <c r="F486" s="436">
        <f>ROUND(1049.65,15)</f>
        <v>1049.6500000000001</v>
      </c>
      <c r="G486" s="437">
        <f t="shared" ref="G486:G487" si="93">I486*(100%-$I$14)</f>
        <v>6.2325228878000081</v>
      </c>
      <c r="H486" s="438">
        <f>ROUND(F486*G486,15)</f>
        <v>6541.9676491792798</v>
      </c>
      <c r="I486" s="520">
        <v>7.48</v>
      </c>
    </row>
    <row r="487" spans="1:9" ht="36" customHeight="1" thickBot="1">
      <c r="A487" s="96">
        <v>87775</v>
      </c>
      <c r="B487" s="97" t="s">
        <v>45</v>
      </c>
      <c r="C487" s="60" t="s">
        <v>46</v>
      </c>
      <c r="D487" s="60" t="s">
        <v>49</v>
      </c>
      <c r="E487" s="61" t="s">
        <v>1349</v>
      </c>
      <c r="F487" s="442">
        <f>ROUND(1049.65,15)</f>
        <v>1049.6500000000001</v>
      </c>
      <c r="G487" s="437">
        <f t="shared" si="93"/>
        <v>39.594851287200051</v>
      </c>
      <c r="H487" s="443">
        <f>ROUND(F487*G487,15)</f>
        <v>41560.735653609503</v>
      </c>
      <c r="I487" s="520">
        <v>47.52</v>
      </c>
    </row>
    <row r="488" spans="1:9" ht="15.75" thickTop="1" thickBot="1">
      <c r="A488" s="35"/>
      <c r="B488" s="36"/>
      <c r="C488" s="36"/>
      <c r="D488" s="37"/>
      <c r="E488" s="394" t="s">
        <v>375</v>
      </c>
      <c r="F488" s="395"/>
      <c r="G488" s="396">
        <f>H486+H487</f>
        <v>48102.703302788781</v>
      </c>
      <c r="H488" s="397">
        <f>ROUND(G488,15)</f>
        <v>48102.703302788701</v>
      </c>
      <c r="I488" s="520"/>
    </row>
    <row r="489" spans="1:9" ht="15" thickBot="1">
      <c r="A489" s="35"/>
      <c r="B489" s="36"/>
      <c r="C489" s="36"/>
      <c r="D489" s="37"/>
      <c r="E489" s="431" t="s">
        <v>369</v>
      </c>
      <c r="F489" s="432"/>
      <c r="G489" s="433">
        <f>H484+H488</f>
        <v>99361.860406401393</v>
      </c>
      <c r="H489" s="434">
        <f>ROUND(G489,15)</f>
        <v>99361.860406401407</v>
      </c>
      <c r="I489" s="520"/>
    </row>
    <row r="490" spans="1:9" ht="15" thickBot="1">
      <c r="A490" s="75"/>
      <c r="B490" s="76"/>
      <c r="C490" s="76"/>
      <c r="D490" s="77"/>
      <c r="E490" s="398" t="s">
        <v>330</v>
      </c>
      <c r="F490" s="399"/>
      <c r="G490" s="400">
        <f>H450+H454+H458+H478+H489</f>
        <v>400331.11156452098</v>
      </c>
      <c r="H490" s="401">
        <f>ROUND(G490,15)</f>
        <v>400331.11156452098</v>
      </c>
      <c r="I490" s="520"/>
    </row>
    <row r="491" spans="1:9" ht="15.75" thickTop="1" thickBot="1">
      <c r="A491" s="307" t="s">
        <v>378</v>
      </c>
      <c r="B491" s="308"/>
      <c r="C491" s="308" t="s">
        <v>38</v>
      </c>
      <c r="D491" s="309"/>
      <c r="E491" s="310" t="s">
        <v>379</v>
      </c>
      <c r="F491" s="311"/>
      <c r="G491" s="312">
        <f>G509</f>
        <v>32384.843423234579</v>
      </c>
      <c r="H491" s="313">
        <f>ROUND(G491,15)</f>
        <v>32384.843423234601</v>
      </c>
      <c r="I491" s="520"/>
    </row>
    <row r="492" spans="1:9" ht="15" thickBot="1">
      <c r="A492" s="293" t="s">
        <v>380</v>
      </c>
      <c r="B492" s="294"/>
      <c r="C492" s="294" t="s">
        <v>38</v>
      </c>
      <c r="D492" s="295"/>
      <c r="E492" s="296" t="s">
        <v>381</v>
      </c>
      <c r="F492" s="297"/>
      <c r="G492" s="298">
        <f>G495</f>
        <v>11153.107373387989</v>
      </c>
      <c r="H492" s="299">
        <f>ROUND(G492,15)</f>
        <v>11153.107373388</v>
      </c>
      <c r="I492" s="520"/>
    </row>
    <row r="493" spans="1:9" ht="15.75" thickTop="1" thickBot="1">
      <c r="A493" s="100" t="s">
        <v>382</v>
      </c>
      <c r="B493" s="101" t="s">
        <v>57</v>
      </c>
      <c r="C493" s="64" t="s">
        <v>46</v>
      </c>
      <c r="D493" s="64" t="s">
        <v>68</v>
      </c>
      <c r="E493" s="65" t="s">
        <v>383</v>
      </c>
      <c r="F493" s="446">
        <f>ROUND(497.92,15)</f>
        <v>497.92</v>
      </c>
      <c r="G493" s="437">
        <f t="shared" ref="G493:G494" si="94">I493*(100%-$I$14)</f>
        <v>22.338761847850026</v>
      </c>
      <c r="H493" s="447">
        <f>ROUND(F493*G493,15)</f>
        <v>11122.9162992815</v>
      </c>
      <c r="I493" s="520">
        <v>26.81</v>
      </c>
    </row>
    <row r="494" spans="1:9" ht="26.1" customHeight="1" thickBot="1">
      <c r="A494" s="96" t="s">
        <v>384</v>
      </c>
      <c r="B494" s="97" t="s">
        <v>148</v>
      </c>
      <c r="C494" s="60" t="s">
        <v>46</v>
      </c>
      <c r="D494" s="60" t="s">
        <v>68</v>
      </c>
      <c r="E494" s="61" t="s">
        <v>1350</v>
      </c>
      <c r="F494" s="442">
        <f>ROUND(3.3,15)</f>
        <v>3.3</v>
      </c>
      <c r="G494" s="457">
        <f t="shared" si="94"/>
        <v>9.148810335300011</v>
      </c>
      <c r="H494" s="443">
        <f>ROUND(F494*G494,15)</f>
        <v>30.191074106489999</v>
      </c>
      <c r="I494" s="520">
        <v>10.98</v>
      </c>
    </row>
    <row r="495" spans="1:9" ht="15.75" thickTop="1" thickBot="1">
      <c r="A495" s="75"/>
      <c r="B495" s="76"/>
      <c r="C495" s="76"/>
      <c r="D495" s="77"/>
      <c r="E495" s="411" t="s">
        <v>380</v>
      </c>
      <c r="F495" s="412"/>
      <c r="G495" s="388">
        <f>H493+H494</f>
        <v>11153.107373387989</v>
      </c>
      <c r="H495" s="414">
        <f>ROUND(G495,15)</f>
        <v>11153.107373388</v>
      </c>
      <c r="I495" s="520"/>
    </row>
    <row r="496" spans="1:9" ht="15.75" thickTop="1" thickBot="1">
      <c r="A496" s="300" t="s">
        <v>385</v>
      </c>
      <c r="B496" s="301"/>
      <c r="C496" s="301" t="s">
        <v>38</v>
      </c>
      <c r="D496" s="302"/>
      <c r="E496" s="303" t="s">
        <v>386</v>
      </c>
      <c r="F496" s="304"/>
      <c r="G496" s="305">
        <f>G498</f>
        <v>991.93351401787595</v>
      </c>
      <c r="H496" s="306">
        <f>ROUND(G496,15)</f>
        <v>991.93351401787595</v>
      </c>
      <c r="I496" s="520"/>
    </row>
    <row r="497" spans="1:9" ht="15.75" thickTop="1" thickBot="1">
      <c r="A497" s="109">
        <v>98689</v>
      </c>
      <c r="B497" s="110" t="s">
        <v>45</v>
      </c>
      <c r="C497" s="89" t="s">
        <v>46</v>
      </c>
      <c r="D497" s="89" t="s">
        <v>68</v>
      </c>
      <c r="E497" s="108" t="s">
        <v>387</v>
      </c>
      <c r="F497" s="513">
        <f>ROUND(13.75,15)</f>
        <v>13.75</v>
      </c>
      <c r="G497" s="457">
        <f t="shared" ref="G497" si="95">I497*(100%-$I$14)</f>
        <v>72.140619201300083</v>
      </c>
      <c r="H497" s="514">
        <f>ROUND(F497*G497,15)</f>
        <v>991.93351401787595</v>
      </c>
      <c r="I497" s="520">
        <v>86.58</v>
      </c>
    </row>
    <row r="498" spans="1:9" ht="15.75" thickTop="1" thickBot="1">
      <c r="A498" s="75"/>
      <c r="B498" s="76"/>
      <c r="C498" s="76"/>
      <c r="D498" s="77"/>
      <c r="E498" s="411" t="s">
        <v>385</v>
      </c>
      <c r="F498" s="412"/>
      <c r="G498" s="388">
        <f>H497</f>
        <v>991.93351401787595</v>
      </c>
      <c r="H498" s="414">
        <f>ROUND(G498,15)</f>
        <v>991.93351401787595</v>
      </c>
      <c r="I498" s="520"/>
    </row>
    <row r="499" spans="1:9" ht="15.75" thickTop="1" thickBot="1">
      <c r="A499" s="300" t="s">
        <v>388</v>
      </c>
      <c r="B499" s="301"/>
      <c r="C499" s="301" t="s">
        <v>38</v>
      </c>
      <c r="D499" s="302"/>
      <c r="E499" s="303" t="s">
        <v>389</v>
      </c>
      <c r="F499" s="304"/>
      <c r="G499" s="305">
        <f>G501</f>
        <v>7465.6966988249897</v>
      </c>
      <c r="H499" s="306">
        <f>ROUND(G499,15)</f>
        <v>7465.6966988249897</v>
      </c>
      <c r="I499" s="520"/>
    </row>
    <row r="500" spans="1:9" ht="15.75" thickTop="1" thickBot="1">
      <c r="A500" s="130" t="s">
        <v>390</v>
      </c>
      <c r="B500" s="89" t="s">
        <v>148</v>
      </c>
      <c r="C500" s="89" t="s">
        <v>46</v>
      </c>
      <c r="D500" s="89" t="s">
        <v>68</v>
      </c>
      <c r="E500" s="108" t="s">
        <v>391</v>
      </c>
      <c r="F500" s="513">
        <f>ROUND(82.3,15)</f>
        <v>82.3</v>
      </c>
      <c r="G500" s="457">
        <f t="shared" ref="G500" si="96">I500*(100%-$I$14)</f>
        <v>90.713204116950109</v>
      </c>
      <c r="H500" s="514">
        <f>ROUND(F500*G500,15)</f>
        <v>7465.6966988249897</v>
      </c>
      <c r="I500" s="520">
        <v>108.87</v>
      </c>
    </row>
    <row r="501" spans="1:9" ht="15.75" thickTop="1" thickBot="1">
      <c r="A501" s="75"/>
      <c r="B501" s="76"/>
      <c r="C501" s="76"/>
      <c r="D501" s="77"/>
      <c r="E501" s="411" t="s">
        <v>388</v>
      </c>
      <c r="F501" s="412"/>
      <c r="G501" s="388">
        <f>H500</f>
        <v>7465.6966988249897</v>
      </c>
      <c r="H501" s="414">
        <f>ROUND(G501,15)</f>
        <v>7465.6966988249897</v>
      </c>
      <c r="I501" s="520"/>
    </row>
    <row r="502" spans="1:9" ht="15.75" thickTop="1" thickBot="1">
      <c r="A502" s="300" t="s">
        <v>392</v>
      </c>
      <c r="B502" s="301"/>
      <c r="C502" s="301" t="s">
        <v>38</v>
      </c>
      <c r="D502" s="302"/>
      <c r="E502" s="303" t="s">
        <v>393</v>
      </c>
      <c r="F502" s="304"/>
      <c r="G502" s="305">
        <f>G505</f>
        <v>9820.6832183722308</v>
      </c>
      <c r="H502" s="306">
        <f>ROUND(G502,15)</f>
        <v>9820.6832183722308</v>
      </c>
      <c r="I502" s="520"/>
    </row>
    <row r="503" spans="1:9" ht="26.1" customHeight="1" thickTop="1" thickBot="1">
      <c r="A503" s="90" t="s">
        <v>394</v>
      </c>
      <c r="B503" s="91" t="s">
        <v>57</v>
      </c>
      <c r="C503" s="54" t="s">
        <v>46</v>
      </c>
      <c r="D503" s="54" t="s">
        <v>49</v>
      </c>
      <c r="E503" s="55" t="s">
        <v>395</v>
      </c>
      <c r="F503" s="436">
        <f>ROUND(18.04,15)</f>
        <v>18.04</v>
      </c>
      <c r="G503" s="437">
        <f t="shared" ref="G503:G504" si="97">I503*(100%-$I$14)</f>
        <v>478.18781889150051</v>
      </c>
      <c r="H503" s="438">
        <f>ROUND(F503*G503,15)</f>
        <v>8626.5082528026705</v>
      </c>
      <c r="I503" s="520">
        <v>573.9</v>
      </c>
    </row>
    <row r="504" spans="1:9" ht="36" customHeight="1" thickBot="1">
      <c r="A504" s="96" t="s">
        <v>396</v>
      </c>
      <c r="B504" s="97" t="s">
        <v>57</v>
      </c>
      <c r="C504" s="60" t="s">
        <v>46</v>
      </c>
      <c r="D504" s="60" t="s">
        <v>68</v>
      </c>
      <c r="E504" s="61" t="s">
        <v>397</v>
      </c>
      <c r="F504" s="442">
        <f>ROUND(23.09,15)</f>
        <v>23.09</v>
      </c>
      <c r="G504" s="437">
        <f t="shared" si="97"/>
        <v>51.718274818950057</v>
      </c>
      <c r="H504" s="443">
        <f>ROUND(F504*G504,15)</f>
        <v>1194.1749655695601</v>
      </c>
      <c r="I504" s="520">
        <v>62.07</v>
      </c>
    </row>
    <row r="505" spans="1:9" ht="15.75" thickTop="1" thickBot="1">
      <c r="A505" s="75"/>
      <c r="B505" s="76"/>
      <c r="C505" s="76"/>
      <c r="D505" s="77"/>
      <c r="E505" s="415" t="s">
        <v>392</v>
      </c>
      <c r="F505" s="416"/>
      <c r="G505" s="417">
        <f>H503+H504</f>
        <v>9820.6832183722308</v>
      </c>
      <c r="H505" s="418">
        <f>ROUND(G505,15)</f>
        <v>9820.6832183722308</v>
      </c>
      <c r="I505" s="520"/>
    </row>
    <row r="506" spans="1:9" ht="15.75" thickTop="1" thickBot="1">
      <c r="A506" s="300" t="s">
        <v>398</v>
      </c>
      <c r="B506" s="301"/>
      <c r="C506" s="301" t="s">
        <v>38</v>
      </c>
      <c r="D506" s="302"/>
      <c r="E506" s="303" t="s">
        <v>399</v>
      </c>
      <c r="F506" s="304"/>
      <c r="G506" s="305">
        <f>G508</f>
        <v>2953.42261863148</v>
      </c>
      <c r="H506" s="306">
        <f>ROUND(G506,15)</f>
        <v>2953.42261863148</v>
      </c>
      <c r="I506" s="520"/>
    </row>
    <row r="507" spans="1:9" ht="26.1" customHeight="1" thickTop="1" thickBot="1">
      <c r="A507" s="98" t="s">
        <v>400</v>
      </c>
      <c r="B507" s="99" t="s">
        <v>57</v>
      </c>
      <c r="C507" s="70" t="s">
        <v>46</v>
      </c>
      <c r="D507" s="70" t="s">
        <v>68</v>
      </c>
      <c r="E507" s="71" t="s">
        <v>401</v>
      </c>
      <c r="F507" s="444">
        <f>ROUND(113.9,15)</f>
        <v>113.9</v>
      </c>
      <c r="G507" s="437">
        <f t="shared" ref="G507" si="98">I507*(100%-$I$14)</f>
        <v>25.929961533200032</v>
      </c>
      <c r="H507" s="445">
        <f>ROUND(F507*G507,15)</f>
        <v>2953.42261863148</v>
      </c>
      <c r="I507" s="520">
        <v>31.12</v>
      </c>
    </row>
    <row r="508" spans="1:9" ht="15.75" thickTop="1" thickBot="1">
      <c r="A508" s="35"/>
      <c r="B508" s="36"/>
      <c r="C508" s="36"/>
      <c r="D508" s="37"/>
      <c r="E508" s="498" t="s">
        <v>398</v>
      </c>
      <c r="F508" s="424"/>
      <c r="G508" s="425">
        <f>H507</f>
        <v>2953.42261863148</v>
      </c>
      <c r="H508" s="426">
        <f>ROUND(G508,15)</f>
        <v>2953.42261863148</v>
      </c>
      <c r="I508" s="520"/>
    </row>
    <row r="509" spans="1:9" ht="15" thickBot="1">
      <c r="A509" s="75"/>
      <c r="B509" s="76"/>
      <c r="C509" s="76"/>
      <c r="D509" s="77"/>
      <c r="E509" s="500" t="s">
        <v>378</v>
      </c>
      <c r="F509" s="428"/>
      <c r="G509" s="429">
        <f>H495+H498+H501+H505+H508</f>
        <v>32384.843423234579</v>
      </c>
      <c r="H509" s="430">
        <f>ROUND(G509,15)</f>
        <v>32384.843423234601</v>
      </c>
      <c r="I509" s="520"/>
    </row>
    <row r="510" spans="1:9" ht="15.75" thickTop="1" thickBot="1">
      <c r="A510" s="307" t="s">
        <v>402</v>
      </c>
      <c r="B510" s="308"/>
      <c r="C510" s="308" t="s">
        <v>38</v>
      </c>
      <c r="D510" s="309"/>
      <c r="E510" s="310" t="s">
        <v>403</v>
      </c>
      <c r="F510" s="311"/>
      <c r="G510" s="312">
        <f>G536</f>
        <v>61637.574380421865</v>
      </c>
      <c r="H510" s="313">
        <f>ROUND(G510,15)</f>
        <v>61637.574380421902</v>
      </c>
      <c r="I510" s="520"/>
    </row>
    <row r="511" spans="1:9" ht="15" thickBot="1">
      <c r="A511" s="293" t="s">
        <v>404</v>
      </c>
      <c r="B511" s="294"/>
      <c r="C511" s="294" t="s">
        <v>38</v>
      </c>
      <c r="D511" s="295"/>
      <c r="E511" s="296" t="s">
        <v>405</v>
      </c>
      <c r="F511" s="297"/>
      <c r="G511" s="298">
        <f>G514</f>
        <v>5654.1021026929302</v>
      </c>
      <c r="H511" s="299">
        <f>ROUND(G511,15)</f>
        <v>5654.1021026929302</v>
      </c>
      <c r="I511" s="520"/>
    </row>
    <row r="512" spans="1:9" ht="15.75" thickTop="1" thickBot="1">
      <c r="A512" s="100" t="s">
        <v>406</v>
      </c>
      <c r="B512" s="101" t="s">
        <v>407</v>
      </c>
      <c r="C512" s="64" t="s">
        <v>46</v>
      </c>
      <c r="D512" s="64" t="s">
        <v>68</v>
      </c>
      <c r="E512" s="65" t="s">
        <v>408</v>
      </c>
      <c r="F512" s="446">
        <f>ROUND(30.9,15)</f>
        <v>30.9</v>
      </c>
      <c r="G512" s="437">
        <f t="shared" ref="G512:G513" si="99">I512*(100%-$I$14)</f>
        <v>145.74771437620015</v>
      </c>
      <c r="H512" s="447">
        <f>ROUND(F512*G512,15)</f>
        <v>4503.6043742245802</v>
      </c>
      <c r="I512" s="520">
        <v>174.92</v>
      </c>
    </row>
    <row r="513" spans="1:9" ht="15" thickBot="1">
      <c r="A513" s="102" t="s">
        <v>409</v>
      </c>
      <c r="B513" s="103" t="s">
        <v>410</v>
      </c>
      <c r="C513" s="66" t="s">
        <v>46</v>
      </c>
      <c r="D513" s="66" t="s">
        <v>68</v>
      </c>
      <c r="E513" s="67" t="s">
        <v>411</v>
      </c>
      <c r="F513" s="450">
        <f>ROUND(8.24,15)</f>
        <v>8.24</v>
      </c>
      <c r="G513" s="437">
        <f t="shared" si="99"/>
        <v>139.62351073645016</v>
      </c>
      <c r="H513" s="451">
        <f>ROUND(F513*G513,15)</f>
        <v>1150.49772846835</v>
      </c>
      <c r="I513" s="520">
        <v>167.57</v>
      </c>
    </row>
    <row r="514" spans="1:9" ht="15.75" thickTop="1" thickBot="1">
      <c r="A514" s="75"/>
      <c r="B514" s="76"/>
      <c r="C514" s="76"/>
      <c r="D514" s="77"/>
      <c r="E514" s="415" t="s">
        <v>404</v>
      </c>
      <c r="F514" s="416"/>
      <c r="G514" s="417">
        <f>H512+H513</f>
        <v>5654.1021026929302</v>
      </c>
      <c r="H514" s="418">
        <f>ROUND(G514,15)</f>
        <v>5654.1021026929302</v>
      </c>
      <c r="I514" s="520"/>
    </row>
    <row r="515" spans="1:9" ht="15.75" thickTop="1" thickBot="1">
      <c r="A515" s="300" t="s">
        <v>412</v>
      </c>
      <c r="B515" s="301"/>
      <c r="C515" s="301" t="s">
        <v>38</v>
      </c>
      <c r="D515" s="302"/>
      <c r="E515" s="303" t="s">
        <v>413</v>
      </c>
      <c r="F515" s="304"/>
      <c r="G515" s="305">
        <f>G518</f>
        <v>26745.61588632884</v>
      </c>
      <c r="H515" s="306">
        <f>ROUND(G515,15)</f>
        <v>26745.6158863288</v>
      </c>
      <c r="I515" s="520"/>
    </row>
    <row r="516" spans="1:9" ht="36" customHeight="1" thickTop="1" thickBot="1">
      <c r="A516" s="90">
        <v>99839</v>
      </c>
      <c r="B516" s="91" t="s">
        <v>45</v>
      </c>
      <c r="C516" s="54" t="s">
        <v>46</v>
      </c>
      <c r="D516" s="54" t="s">
        <v>68</v>
      </c>
      <c r="E516" s="55" t="s">
        <v>414</v>
      </c>
      <c r="F516" s="436">
        <f>ROUND(11.88,15)</f>
        <v>11.88</v>
      </c>
      <c r="G516" s="437">
        <f t="shared" ref="G516:G517" si="100">I516*(100%-$I$14)</f>
        <v>345.89668802305039</v>
      </c>
      <c r="H516" s="438">
        <f>ROUND(F516*G516,15)</f>
        <v>4109.2526537138401</v>
      </c>
      <c r="I516" s="520">
        <v>415.13</v>
      </c>
    </row>
    <row r="517" spans="1:9" ht="26.1" customHeight="1" thickBot="1">
      <c r="A517" s="96">
        <v>99841</v>
      </c>
      <c r="B517" s="97" t="s">
        <v>45</v>
      </c>
      <c r="C517" s="60" t="s">
        <v>46</v>
      </c>
      <c r="D517" s="60" t="s">
        <v>68</v>
      </c>
      <c r="E517" s="61" t="s">
        <v>415</v>
      </c>
      <c r="F517" s="442">
        <f>ROUND(27.13,15)</f>
        <v>27.13</v>
      </c>
      <c r="G517" s="437">
        <f t="shared" si="100"/>
        <v>834.36650322945093</v>
      </c>
      <c r="H517" s="443">
        <f>ROUND(F517*G517,15)</f>
        <v>22636.363232615</v>
      </c>
      <c r="I517" s="520">
        <v>1001.37</v>
      </c>
    </row>
    <row r="518" spans="1:9" ht="15.75" thickTop="1" thickBot="1">
      <c r="A518" s="75"/>
      <c r="B518" s="76"/>
      <c r="C518" s="76"/>
      <c r="D518" s="77"/>
      <c r="E518" s="415" t="s">
        <v>412</v>
      </c>
      <c r="F518" s="416"/>
      <c r="G518" s="417">
        <f>H516+H517</f>
        <v>26745.61588632884</v>
      </c>
      <c r="H518" s="418">
        <f>ROUND(G518,15)</f>
        <v>26745.6158863288</v>
      </c>
      <c r="I518" s="520"/>
    </row>
    <row r="519" spans="1:9" ht="15.75" thickTop="1" thickBot="1">
      <c r="A519" s="300" t="s">
        <v>416</v>
      </c>
      <c r="B519" s="301"/>
      <c r="C519" s="301" t="s">
        <v>38</v>
      </c>
      <c r="D519" s="302"/>
      <c r="E519" s="303" t="s">
        <v>417</v>
      </c>
      <c r="F519" s="304"/>
      <c r="G519" s="305">
        <f>G522</f>
        <v>1926.0142175872361</v>
      </c>
      <c r="H519" s="306">
        <f>ROUND(G519,15)</f>
        <v>1926.01421758724</v>
      </c>
      <c r="I519" s="520"/>
    </row>
    <row r="520" spans="1:9" ht="15.75" thickTop="1" thickBot="1">
      <c r="A520" s="100" t="s">
        <v>418</v>
      </c>
      <c r="B520" s="101" t="s">
        <v>45</v>
      </c>
      <c r="C520" s="64" t="s">
        <v>46</v>
      </c>
      <c r="D520" s="64" t="s">
        <v>68</v>
      </c>
      <c r="E520" s="65" t="s">
        <v>419</v>
      </c>
      <c r="F520" s="446">
        <f>ROUND(7,15)</f>
        <v>7</v>
      </c>
      <c r="G520" s="437">
        <f t="shared" ref="G520:G521" si="101">I520*(100%-$I$14)</f>
        <v>262.29922527800034</v>
      </c>
      <c r="H520" s="447">
        <f>ROUND(F520*G520,15)</f>
        <v>1836.094576946</v>
      </c>
      <c r="I520" s="520">
        <v>314.8</v>
      </c>
    </row>
    <row r="521" spans="1:9" ht="15" thickBot="1">
      <c r="A521" s="102" t="s">
        <v>420</v>
      </c>
      <c r="B521" s="103" t="s">
        <v>57</v>
      </c>
      <c r="C521" s="66" t="s">
        <v>46</v>
      </c>
      <c r="D521" s="66" t="s">
        <v>49</v>
      </c>
      <c r="E521" s="67" t="s">
        <v>421</v>
      </c>
      <c r="F521" s="450">
        <f>ROUND(3.92,15)</f>
        <v>3.92</v>
      </c>
      <c r="G521" s="457">
        <f t="shared" si="101"/>
        <v>22.938683837050029</v>
      </c>
      <c r="H521" s="451">
        <f>ROUND(F521*G521,15)</f>
        <v>89.9196406412361</v>
      </c>
      <c r="I521" s="520">
        <v>27.53</v>
      </c>
    </row>
    <row r="522" spans="1:9" ht="15.75" thickTop="1" thickBot="1">
      <c r="A522" s="75"/>
      <c r="B522" s="76"/>
      <c r="C522" s="76"/>
      <c r="D522" s="77"/>
      <c r="E522" s="419" t="s">
        <v>416</v>
      </c>
      <c r="F522" s="420"/>
      <c r="G522" s="417">
        <f>H520+H521</f>
        <v>1926.0142175872361</v>
      </c>
      <c r="H522" s="422">
        <f>ROUND(G522,15)</f>
        <v>1926.01421758724</v>
      </c>
      <c r="I522" s="520"/>
    </row>
    <row r="523" spans="1:9" ht="15.75" thickTop="1" thickBot="1">
      <c r="A523" s="300" t="s">
        <v>422</v>
      </c>
      <c r="B523" s="301"/>
      <c r="C523" s="301" t="s">
        <v>38</v>
      </c>
      <c r="D523" s="302"/>
      <c r="E523" s="303" t="s">
        <v>423</v>
      </c>
      <c r="F523" s="304"/>
      <c r="G523" s="305">
        <f>G535</f>
        <v>27311.842173812918</v>
      </c>
      <c r="H523" s="306">
        <f>ROUND(G523,15)</f>
        <v>27311.8421738129</v>
      </c>
      <c r="I523" s="520"/>
    </row>
    <row r="524" spans="1:9" ht="15.75" thickTop="1" thickBot="1">
      <c r="A524" s="100" t="s">
        <v>424</v>
      </c>
      <c r="B524" s="101" t="s">
        <v>57</v>
      </c>
      <c r="C524" s="64" t="s">
        <v>46</v>
      </c>
      <c r="D524" s="64" t="s">
        <v>47</v>
      </c>
      <c r="E524" s="65" t="s">
        <v>425</v>
      </c>
      <c r="F524" s="446">
        <f>ROUND(2,15)</f>
        <v>2</v>
      </c>
      <c r="G524" s="437">
        <f t="shared" ref="G524:G534" si="102">I524*(100%-$I$14)</f>
        <v>9495.6902288053607</v>
      </c>
      <c r="H524" s="447">
        <f t="shared" ref="H524:H534" si="103">ROUND(F524*G524,15)</f>
        <v>18991.3804576107</v>
      </c>
      <c r="I524" s="520">
        <v>11396.31</v>
      </c>
    </row>
    <row r="525" spans="1:9" ht="15" thickBot="1">
      <c r="A525" s="102" t="s">
        <v>426</v>
      </c>
      <c r="B525" s="103" t="s">
        <v>57</v>
      </c>
      <c r="C525" s="66" t="s">
        <v>46</v>
      </c>
      <c r="D525" s="66" t="s">
        <v>47</v>
      </c>
      <c r="E525" s="67" t="s">
        <v>427</v>
      </c>
      <c r="F525" s="450">
        <f>ROUND(1,15)</f>
        <v>1</v>
      </c>
      <c r="G525" s="442">
        <f t="shared" si="102"/>
        <v>120.54265857995013</v>
      </c>
      <c r="H525" s="451">
        <f t="shared" si="103"/>
        <v>120.54265857995</v>
      </c>
      <c r="I525" s="520">
        <v>144.66999999999999</v>
      </c>
    </row>
    <row r="526" spans="1:9" ht="15.75" thickTop="1" thickBot="1">
      <c r="A526" s="100" t="s">
        <v>428</v>
      </c>
      <c r="B526" s="101" t="s">
        <v>57</v>
      </c>
      <c r="C526" s="64" t="s">
        <v>46</v>
      </c>
      <c r="D526" s="64" t="s">
        <v>47</v>
      </c>
      <c r="E526" s="65" t="s">
        <v>429</v>
      </c>
      <c r="F526" s="446">
        <f>ROUND(2,15)</f>
        <v>2</v>
      </c>
      <c r="G526" s="436">
        <f t="shared" si="102"/>
        <v>128.15000269300015</v>
      </c>
      <c r="H526" s="447">
        <f t="shared" si="103"/>
        <v>256.30000538600001</v>
      </c>
      <c r="I526" s="520">
        <v>153.80000000000001</v>
      </c>
    </row>
    <row r="527" spans="1:9" ht="15" thickBot="1">
      <c r="A527" s="94" t="s">
        <v>430</v>
      </c>
      <c r="B527" s="95" t="s">
        <v>57</v>
      </c>
      <c r="C527" s="74" t="s">
        <v>46</v>
      </c>
      <c r="D527" s="74" t="s">
        <v>47</v>
      </c>
      <c r="E527" s="78" t="s">
        <v>431</v>
      </c>
      <c r="F527" s="440">
        <f>ROUND(2,15)</f>
        <v>2</v>
      </c>
      <c r="G527" s="437">
        <f t="shared" si="102"/>
        <v>42.836096478850045</v>
      </c>
      <c r="H527" s="441">
        <f t="shared" si="103"/>
        <v>85.672192957700105</v>
      </c>
      <c r="I527" s="520">
        <v>51.41</v>
      </c>
    </row>
    <row r="528" spans="1:9" ht="15" thickBot="1">
      <c r="A528" s="94" t="s">
        <v>432</v>
      </c>
      <c r="B528" s="95" t="s">
        <v>57</v>
      </c>
      <c r="C528" s="74" t="s">
        <v>46</v>
      </c>
      <c r="D528" s="74" t="s">
        <v>47</v>
      </c>
      <c r="E528" s="78" t="s">
        <v>433</v>
      </c>
      <c r="F528" s="440">
        <f>ROUND(4,15)</f>
        <v>4</v>
      </c>
      <c r="G528" s="437">
        <f t="shared" si="102"/>
        <v>121.24256756735014</v>
      </c>
      <c r="H528" s="441">
        <f t="shared" si="103"/>
        <v>484.970270269401</v>
      </c>
      <c r="I528" s="520">
        <v>145.51</v>
      </c>
    </row>
    <row r="529" spans="1:9" ht="26.1" customHeight="1" thickBot="1">
      <c r="A529" s="92" t="s">
        <v>434</v>
      </c>
      <c r="B529" s="93" t="s">
        <v>57</v>
      </c>
      <c r="C529" s="58" t="s">
        <v>46</v>
      </c>
      <c r="D529" s="58" t="s">
        <v>49</v>
      </c>
      <c r="E529" s="59" t="s">
        <v>1352</v>
      </c>
      <c r="F529" s="437">
        <f>ROUND(15.14,15)</f>
        <v>15.14</v>
      </c>
      <c r="G529" s="437">
        <f t="shared" si="102"/>
        <v>186.23411639735022</v>
      </c>
      <c r="H529" s="439">
        <f t="shared" si="103"/>
        <v>2819.5845222558801</v>
      </c>
      <c r="I529" s="520">
        <v>223.51</v>
      </c>
    </row>
    <row r="530" spans="1:9" ht="15" thickBot="1">
      <c r="A530" s="94">
        <v>95544</v>
      </c>
      <c r="B530" s="95" t="s">
        <v>45</v>
      </c>
      <c r="C530" s="74" t="s">
        <v>46</v>
      </c>
      <c r="D530" s="74" t="s">
        <v>47</v>
      </c>
      <c r="E530" s="78" t="s">
        <v>435</v>
      </c>
      <c r="F530" s="440">
        <f>ROUND(14,15)</f>
        <v>14</v>
      </c>
      <c r="G530" s="437">
        <f t="shared" si="102"/>
        <v>32.97071265645004</v>
      </c>
      <c r="H530" s="441">
        <f t="shared" si="103"/>
        <v>461.589977190301</v>
      </c>
      <c r="I530" s="520">
        <v>39.57</v>
      </c>
    </row>
    <row r="531" spans="1:9" ht="26.1" customHeight="1" thickBot="1">
      <c r="A531" s="92">
        <v>95547</v>
      </c>
      <c r="B531" s="93" t="s">
        <v>45</v>
      </c>
      <c r="C531" s="58" t="s">
        <v>46</v>
      </c>
      <c r="D531" s="58" t="s">
        <v>47</v>
      </c>
      <c r="E531" s="59" t="s">
        <v>1351</v>
      </c>
      <c r="F531" s="437">
        <f>ROUND(12,15)</f>
        <v>12</v>
      </c>
      <c r="G531" s="437">
        <f t="shared" si="102"/>
        <v>46.410631664500059</v>
      </c>
      <c r="H531" s="439">
        <f t="shared" si="103"/>
        <v>556.92757997400099</v>
      </c>
      <c r="I531" s="520">
        <v>55.7</v>
      </c>
    </row>
    <row r="532" spans="1:9" ht="15" thickBot="1">
      <c r="A532" s="94" t="s">
        <v>436</v>
      </c>
      <c r="B532" s="95" t="s">
        <v>57</v>
      </c>
      <c r="C532" s="74" t="s">
        <v>46</v>
      </c>
      <c r="D532" s="74" t="s">
        <v>47</v>
      </c>
      <c r="E532" s="78" t="s">
        <v>437</v>
      </c>
      <c r="F532" s="440">
        <f>ROUND(12,15)</f>
        <v>12</v>
      </c>
      <c r="G532" s="437">
        <f t="shared" si="102"/>
        <v>47.39383714680006</v>
      </c>
      <c r="H532" s="441">
        <f t="shared" si="103"/>
        <v>568.72604576160097</v>
      </c>
      <c r="I532" s="520">
        <v>56.88</v>
      </c>
    </row>
    <row r="533" spans="1:9" ht="15" thickBot="1">
      <c r="A533" s="94" t="s">
        <v>438</v>
      </c>
      <c r="B533" s="95" t="s">
        <v>57</v>
      </c>
      <c r="C533" s="74" t="s">
        <v>46</v>
      </c>
      <c r="D533" s="74" t="s">
        <v>47</v>
      </c>
      <c r="E533" s="78" t="s">
        <v>439</v>
      </c>
      <c r="F533" s="440">
        <f>ROUND(1,15)</f>
        <v>1</v>
      </c>
      <c r="G533" s="437">
        <f t="shared" si="102"/>
        <v>2169.0096197027524</v>
      </c>
      <c r="H533" s="441">
        <f t="shared" si="103"/>
        <v>2169.0096197027501</v>
      </c>
      <c r="I533" s="520">
        <v>2603.15</v>
      </c>
    </row>
    <row r="534" spans="1:9" ht="15" thickBot="1">
      <c r="A534" s="102" t="s">
        <v>440</v>
      </c>
      <c r="B534" s="103" t="s">
        <v>57</v>
      </c>
      <c r="C534" s="66" t="s">
        <v>46</v>
      </c>
      <c r="D534" s="66" t="s">
        <v>68</v>
      </c>
      <c r="E534" s="67" t="s">
        <v>441</v>
      </c>
      <c r="F534" s="450">
        <f>ROUND(6.35,15)</f>
        <v>6.35</v>
      </c>
      <c r="G534" s="437">
        <f t="shared" si="102"/>
        <v>125.53367624010015</v>
      </c>
      <c r="H534" s="451">
        <f t="shared" si="103"/>
        <v>797.13884412463597</v>
      </c>
      <c r="I534" s="520">
        <v>150.66</v>
      </c>
    </row>
    <row r="535" spans="1:9" ht="15.75" thickTop="1" thickBot="1">
      <c r="A535" s="85"/>
      <c r="B535" s="86"/>
      <c r="C535" s="86"/>
      <c r="D535" s="112"/>
      <c r="E535" s="423" t="s">
        <v>422</v>
      </c>
      <c r="F535" s="424"/>
      <c r="G535" s="425">
        <f>H524+H525+H526+H527+H528+H529+H530+H531+H532+H533+H534</f>
        <v>27311.842173812918</v>
      </c>
      <c r="H535" s="426">
        <f t="shared" ref="H535:H542" si="104">ROUND(G535,15)</f>
        <v>27311.8421738129</v>
      </c>
      <c r="I535" s="520"/>
    </row>
    <row r="536" spans="1:9" ht="15" thickBot="1">
      <c r="A536" s="75"/>
      <c r="B536" s="76"/>
      <c r="C536" s="76"/>
      <c r="D536" s="113"/>
      <c r="E536" s="477" t="s">
        <v>402</v>
      </c>
      <c r="F536" s="478"/>
      <c r="G536" s="479">
        <f>H514+H518+H522+H535</f>
        <v>61637.574380421865</v>
      </c>
      <c r="H536" s="480">
        <f t="shared" si="104"/>
        <v>61637.574380421902</v>
      </c>
      <c r="I536" s="520"/>
    </row>
    <row r="537" spans="1:9" ht="15" thickBot="1">
      <c r="A537" s="75"/>
      <c r="B537" s="76"/>
      <c r="C537" s="76"/>
      <c r="D537" s="113"/>
      <c r="E537" s="481" t="s">
        <v>276</v>
      </c>
      <c r="F537" s="482"/>
      <c r="G537" s="483">
        <f>H409+H412+H432+H435+H442+H490+H509+H536</f>
        <v>857955.03922970267</v>
      </c>
      <c r="H537" s="484">
        <f t="shared" si="104"/>
        <v>857955.03922970302</v>
      </c>
      <c r="I537" s="520"/>
    </row>
    <row r="538" spans="1:9" ht="15" thickBot="1">
      <c r="A538" s="114"/>
      <c r="B538" s="115"/>
      <c r="C538" s="115"/>
      <c r="D538" s="116"/>
      <c r="E538" s="485" t="s">
        <v>275</v>
      </c>
      <c r="F538" s="486"/>
      <c r="G538" s="487">
        <f>H537</f>
        <v>857955.03922970302</v>
      </c>
      <c r="H538" s="488">
        <f t="shared" si="104"/>
        <v>857955.03922970302</v>
      </c>
      <c r="I538" s="520"/>
    </row>
    <row r="539" spans="1:9" ht="15.75" thickTop="1" thickBot="1">
      <c r="A539" s="213" t="s">
        <v>442</v>
      </c>
      <c r="B539" s="503"/>
      <c r="C539" s="214" t="s">
        <v>38</v>
      </c>
      <c r="D539" s="506"/>
      <c r="E539" s="234" t="s">
        <v>246</v>
      </c>
      <c r="F539" s="509"/>
      <c r="G539" s="218">
        <f>G656</f>
        <v>426238.29480969399</v>
      </c>
      <c r="H539" s="219">
        <f t="shared" si="104"/>
        <v>426238.29480969399</v>
      </c>
      <c r="I539" s="520"/>
    </row>
    <row r="540" spans="1:9" ht="15" thickBot="1">
      <c r="A540" s="258" t="s">
        <v>443</v>
      </c>
      <c r="B540" s="504"/>
      <c r="C540" s="259" t="s">
        <v>38</v>
      </c>
      <c r="D540" s="507"/>
      <c r="E540" s="261" t="s">
        <v>277</v>
      </c>
      <c r="F540" s="510"/>
      <c r="G540" s="263">
        <f>G655</f>
        <v>426238.29480969365</v>
      </c>
      <c r="H540" s="264">
        <f t="shared" si="104"/>
        <v>426238.29480969399</v>
      </c>
      <c r="I540" s="520"/>
    </row>
    <row r="541" spans="1:9" ht="15" thickBot="1">
      <c r="A541" s="286" t="s">
        <v>444</v>
      </c>
      <c r="B541" s="505"/>
      <c r="C541" s="287" t="s">
        <v>38</v>
      </c>
      <c r="D541" s="508"/>
      <c r="E541" s="289" t="s">
        <v>279</v>
      </c>
      <c r="F541" s="511"/>
      <c r="G541" s="291">
        <f>G554</f>
        <v>49530.370156262426</v>
      </c>
      <c r="H541" s="292">
        <f t="shared" si="104"/>
        <v>49530.370156262397</v>
      </c>
      <c r="I541" s="520"/>
    </row>
    <row r="542" spans="1:9" ht="15" thickBot="1">
      <c r="A542" s="293" t="s">
        <v>445</v>
      </c>
      <c r="B542" s="340"/>
      <c r="C542" s="294" t="s">
        <v>38</v>
      </c>
      <c r="D542" s="341"/>
      <c r="E542" s="296" t="s">
        <v>446</v>
      </c>
      <c r="F542" s="512"/>
      <c r="G542" s="298">
        <f>G546</f>
        <v>46038.786683994091</v>
      </c>
      <c r="H542" s="299">
        <f t="shared" si="104"/>
        <v>46038.786683994098</v>
      </c>
      <c r="I542" s="520"/>
    </row>
    <row r="543" spans="1:9" ht="36" customHeight="1" thickTop="1" thickBot="1">
      <c r="A543" s="90">
        <v>87503</v>
      </c>
      <c r="B543" s="91" t="s">
        <v>45</v>
      </c>
      <c r="C543" s="54" t="s">
        <v>46</v>
      </c>
      <c r="D543" s="54" t="s">
        <v>49</v>
      </c>
      <c r="E543" s="55" t="s">
        <v>1353</v>
      </c>
      <c r="F543" s="436">
        <f>ROUND(149,15)</f>
        <v>149</v>
      </c>
      <c r="G543" s="437">
        <f t="shared" ref="G543:G545" si="105">I543*(100%-$I$14)</f>
        <v>60.067189168650074</v>
      </c>
      <c r="H543" s="438">
        <f>ROUND(F543*G543,15)</f>
        <v>8950.0111861288606</v>
      </c>
      <c r="I543" s="520">
        <v>72.09</v>
      </c>
    </row>
    <row r="544" spans="1:9" ht="36" customHeight="1" thickBot="1">
      <c r="A544" s="92">
        <v>87479</v>
      </c>
      <c r="B544" s="93" t="s">
        <v>45</v>
      </c>
      <c r="C544" s="58" t="s">
        <v>46</v>
      </c>
      <c r="D544" s="58" t="s">
        <v>49</v>
      </c>
      <c r="E544" s="59" t="s">
        <v>447</v>
      </c>
      <c r="F544" s="437">
        <f>ROUND(547.66,15)</f>
        <v>547.66</v>
      </c>
      <c r="G544" s="437">
        <f t="shared" si="105"/>
        <v>55.926060993200068</v>
      </c>
      <c r="H544" s="439">
        <f>ROUND(F544*G544,15)</f>
        <v>30628.466563535902</v>
      </c>
      <c r="I544" s="520">
        <v>67.12</v>
      </c>
    </row>
    <row r="545" spans="1:9" ht="15" thickBot="1">
      <c r="A545" s="102">
        <v>93202</v>
      </c>
      <c r="B545" s="103" t="s">
        <v>45</v>
      </c>
      <c r="C545" s="66" t="s">
        <v>46</v>
      </c>
      <c r="D545" s="66" t="s">
        <v>68</v>
      </c>
      <c r="E545" s="67" t="s">
        <v>282</v>
      </c>
      <c r="F545" s="450">
        <f>ROUND(320.52,15)</f>
        <v>320.52</v>
      </c>
      <c r="G545" s="437">
        <f t="shared" si="105"/>
        <v>20.155712387150025</v>
      </c>
      <c r="H545" s="451">
        <f>ROUND(F545*G545,15)</f>
        <v>6460.3089343293304</v>
      </c>
      <c r="I545" s="520">
        <v>24.19</v>
      </c>
    </row>
    <row r="546" spans="1:9" ht="15.75" thickTop="1" thickBot="1">
      <c r="A546" s="75"/>
      <c r="B546" s="76"/>
      <c r="C546" s="76"/>
      <c r="D546" s="77"/>
      <c r="E546" s="415" t="s">
        <v>445</v>
      </c>
      <c r="F546" s="416"/>
      <c r="G546" s="417">
        <f>H543+H544+H545</f>
        <v>46038.786683994091</v>
      </c>
      <c r="H546" s="418">
        <f>ROUND(G546,15)</f>
        <v>46038.786683994098</v>
      </c>
      <c r="I546" s="520"/>
    </row>
    <row r="547" spans="1:9" ht="15.75" thickTop="1" thickBot="1">
      <c r="A547" s="300" t="s">
        <v>448</v>
      </c>
      <c r="B547" s="301"/>
      <c r="C547" s="301" t="s">
        <v>38</v>
      </c>
      <c r="D547" s="302"/>
      <c r="E547" s="303" t="s">
        <v>285</v>
      </c>
      <c r="F547" s="304"/>
      <c r="G547" s="305">
        <f>G553</f>
        <v>3491.5834722683298</v>
      </c>
      <c r="H547" s="306">
        <f>ROUND(G547,15)</f>
        <v>3491.5834722683298</v>
      </c>
      <c r="I547" s="520"/>
    </row>
    <row r="548" spans="1:9" ht="15.75" thickTop="1" thickBot="1">
      <c r="A548" s="100">
        <v>93182</v>
      </c>
      <c r="B548" s="101" t="s">
        <v>45</v>
      </c>
      <c r="C548" s="64" t="s">
        <v>46</v>
      </c>
      <c r="D548" s="64" t="s">
        <v>68</v>
      </c>
      <c r="E548" s="65" t="s">
        <v>286</v>
      </c>
      <c r="F548" s="446">
        <f>ROUND(6,15)</f>
        <v>6</v>
      </c>
      <c r="G548" s="437">
        <f t="shared" ref="G548:G552" si="106">I548*(100%-$I$14)</f>
        <v>30.637682698450039</v>
      </c>
      <c r="H548" s="447">
        <f>ROUND(F548*G548,15)</f>
        <v>183.82609619070001</v>
      </c>
      <c r="I548" s="520">
        <v>36.770000000000003</v>
      </c>
    </row>
    <row r="549" spans="1:9" ht="15" thickBot="1">
      <c r="A549" s="94">
        <v>93183</v>
      </c>
      <c r="B549" s="95" t="s">
        <v>45</v>
      </c>
      <c r="C549" s="74" t="s">
        <v>46</v>
      </c>
      <c r="D549" s="74" t="s">
        <v>68</v>
      </c>
      <c r="E549" s="78" t="s">
        <v>287</v>
      </c>
      <c r="F549" s="440">
        <f>ROUND(37.25,15)</f>
        <v>37.25</v>
      </c>
      <c r="G549" s="437">
        <f t="shared" si="106"/>
        <v>38.994929298000045</v>
      </c>
      <c r="H549" s="441">
        <f>ROUND(F549*G549,15)</f>
        <v>1452.5611163505</v>
      </c>
      <c r="I549" s="520">
        <v>46.8</v>
      </c>
    </row>
    <row r="550" spans="1:9" ht="15" thickBot="1">
      <c r="A550" s="94">
        <v>93184</v>
      </c>
      <c r="B550" s="95" t="s">
        <v>45</v>
      </c>
      <c r="C550" s="74" t="s">
        <v>46</v>
      </c>
      <c r="D550" s="74" t="s">
        <v>68</v>
      </c>
      <c r="E550" s="78" t="s">
        <v>288</v>
      </c>
      <c r="F550" s="440">
        <f>ROUND(14.2,15)</f>
        <v>14.2</v>
      </c>
      <c r="G550" s="437">
        <f t="shared" si="106"/>
        <v>22.872025838250025</v>
      </c>
      <c r="H550" s="441">
        <f>ROUND(F550*G550,15)</f>
        <v>324.78276690314999</v>
      </c>
      <c r="I550" s="520">
        <v>27.45</v>
      </c>
    </row>
    <row r="551" spans="1:9" ht="15" thickBot="1">
      <c r="A551" s="94">
        <v>93194</v>
      </c>
      <c r="B551" s="95" t="s">
        <v>45</v>
      </c>
      <c r="C551" s="74" t="s">
        <v>46</v>
      </c>
      <c r="D551" s="74" t="s">
        <v>68</v>
      </c>
      <c r="E551" s="78" t="s">
        <v>290</v>
      </c>
      <c r="F551" s="440">
        <f>ROUND(6,15)</f>
        <v>6</v>
      </c>
      <c r="G551" s="437">
        <f t="shared" si="106"/>
        <v>30.046092959100037</v>
      </c>
      <c r="H551" s="441">
        <f>ROUND(F551*G551,15)</f>
        <v>180.27655775459999</v>
      </c>
      <c r="I551" s="520">
        <v>36.06</v>
      </c>
    </row>
    <row r="552" spans="1:9" ht="15" thickBot="1">
      <c r="A552" s="102">
        <v>93195</v>
      </c>
      <c r="B552" s="103" t="s">
        <v>45</v>
      </c>
      <c r="C552" s="66" t="s">
        <v>46</v>
      </c>
      <c r="D552" s="66" t="s">
        <v>68</v>
      </c>
      <c r="E552" s="67" t="s">
        <v>291</v>
      </c>
      <c r="F552" s="450">
        <f>ROUND(37.25,15)</f>
        <v>37.25</v>
      </c>
      <c r="G552" s="437">
        <f t="shared" si="106"/>
        <v>36.24528684750004</v>
      </c>
      <c r="H552" s="451">
        <f>ROUND(F552*G552,15)</f>
        <v>1350.1369350693799</v>
      </c>
      <c r="I552" s="520">
        <v>43.5</v>
      </c>
    </row>
    <row r="553" spans="1:9" ht="15.75" thickTop="1" thickBot="1">
      <c r="A553" s="85"/>
      <c r="B553" s="86"/>
      <c r="C553" s="86"/>
      <c r="D553" s="87"/>
      <c r="E553" s="498" t="s">
        <v>448</v>
      </c>
      <c r="F553" s="424"/>
      <c r="G553" s="425">
        <f>H548+H549+H550+H551+H552</f>
        <v>3491.5834722683298</v>
      </c>
      <c r="H553" s="426">
        <f>ROUND(G553,15)</f>
        <v>3491.5834722683298</v>
      </c>
      <c r="I553" s="520"/>
    </row>
    <row r="554" spans="1:9" ht="15" thickBot="1">
      <c r="A554" s="114"/>
      <c r="B554" s="115"/>
      <c r="C554" s="115"/>
      <c r="D554" s="117"/>
      <c r="E554" s="499" t="s">
        <v>444</v>
      </c>
      <c r="F554" s="399"/>
      <c r="G554" s="400">
        <f>H546+H553</f>
        <v>49530.370156262426</v>
      </c>
      <c r="H554" s="401">
        <f>ROUND(G554,15)</f>
        <v>49530.370156262397</v>
      </c>
      <c r="I554" s="520"/>
    </row>
    <row r="555" spans="1:9" ht="15.75" thickTop="1" thickBot="1">
      <c r="A555" s="272" t="s">
        <v>449</v>
      </c>
      <c r="B555" s="273"/>
      <c r="C555" s="273" t="s">
        <v>38</v>
      </c>
      <c r="D555" s="274"/>
      <c r="E555" s="275" t="s">
        <v>296</v>
      </c>
      <c r="F555" s="276"/>
      <c r="G555" s="277">
        <f>G557</f>
        <v>3404.4399706321201</v>
      </c>
      <c r="H555" s="278">
        <f>ROUND(G555,15)</f>
        <v>3404.4399706321201</v>
      </c>
      <c r="I555" s="520"/>
    </row>
    <row r="556" spans="1:9" ht="26.1" customHeight="1" thickTop="1" thickBot="1">
      <c r="A556" s="98">
        <v>87630</v>
      </c>
      <c r="B556" s="99" t="s">
        <v>45</v>
      </c>
      <c r="C556" s="70" t="s">
        <v>46</v>
      </c>
      <c r="D556" s="70" t="s">
        <v>49</v>
      </c>
      <c r="E556" s="71" t="s">
        <v>297</v>
      </c>
      <c r="F556" s="444">
        <f>ROUND(119.33,15)</f>
        <v>119.33</v>
      </c>
      <c r="G556" s="437">
        <f t="shared" ref="G556" si="107">I556*(100%-$I$14)</f>
        <v>28.529623486400034</v>
      </c>
      <c r="H556" s="445">
        <f>ROUND(F556*G556,15)</f>
        <v>3404.4399706321201</v>
      </c>
      <c r="I556" s="520">
        <v>34.24</v>
      </c>
    </row>
    <row r="557" spans="1:9" ht="15.75" thickTop="1" thickBot="1">
      <c r="A557" s="75"/>
      <c r="B557" s="76"/>
      <c r="C557" s="76"/>
      <c r="D557" s="77"/>
      <c r="E557" s="386" t="s">
        <v>449</v>
      </c>
      <c r="F557" s="387"/>
      <c r="G557" s="388">
        <f>H556</f>
        <v>3404.4399706321201</v>
      </c>
      <c r="H557" s="389">
        <f>ROUND(G557,15)</f>
        <v>3404.4399706321201</v>
      </c>
      <c r="I557" s="520"/>
    </row>
    <row r="558" spans="1:9" ht="15.75" thickTop="1" thickBot="1">
      <c r="A558" s="307" t="s">
        <v>450</v>
      </c>
      <c r="B558" s="308"/>
      <c r="C558" s="308" t="s">
        <v>38</v>
      </c>
      <c r="D558" s="309"/>
      <c r="E558" s="335" t="s">
        <v>299</v>
      </c>
      <c r="F558" s="336"/>
      <c r="G558" s="337">
        <f>G570</f>
        <v>53326.931804055399</v>
      </c>
      <c r="H558" s="338">
        <f>ROUND(G558,15)</f>
        <v>53326.931804055399</v>
      </c>
      <c r="I558" s="520"/>
    </row>
    <row r="559" spans="1:9" ht="15" thickBot="1">
      <c r="A559" s="339" t="s">
        <v>451</v>
      </c>
      <c r="B559" s="340"/>
      <c r="C559" s="340" t="s">
        <v>38</v>
      </c>
      <c r="D559" s="341"/>
      <c r="E559" s="296" t="s">
        <v>301</v>
      </c>
      <c r="F559" s="297"/>
      <c r="G559" s="298">
        <f>G565</f>
        <v>42379.342872762645</v>
      </c>
      <c r="H559" s="299">
        <f>ROUND(G559,15)</f>
        <v>42379.342872762601</v>
      </c>
      <c r="I559" s="520"/>
    </row>
    <row r="560" spans="1:9" ht="36" customHeight="1" thickTop="1" thickBot="1">
      <c r="A560" s="90" t="s">
        <v>1510</v>
      </c>
      <c r="B560" s="91" t="s">
        <v>148</v>
      </c>
      <c r="C560" s="54" t="s">
        <v>46</v>
      </c>
      <c r="D560" s="131" t="s">
        <v>47</v>
      </c>
      <c r="E560" s="59" t="s">
        <v>1511</v>
      </c>
      <c r="F560" s="436">
        <f>ROUND(5,15)</f>
        <v>5</v>
      </c>
      <c r="G560" s="437">
        <f t="shared" ref="G560:G564" si="108">I560*(100%-$I$14)</f>
        <v>417.01244049280052</v>
      </c>
      <c r="H560" s="438">
        <f>ROUND(F560*G560,15)</f>
        <v>2085.0622024640002</v>
      </c>
      <c r="I560" s="520">
        <v>500.48</v>
      </c>
    </row>
    <row r="561" spans="1:9" ht="36" customHeight="1" thickBot="1">
      <c r="A561" s="92">
        <v>90796</v>
      </c>
      <c r="B561" s="93" t="s">
        <v>45</v>
      </c>
      <c r="C561" s="58" t="s">
        <v>46</v>
      </c>
      <c r="D561" s="58" t="s">
        <v>47</v>
      </c>
      <c r="E561" s="59" t="s">
        <v>1506</v>
      </c>
      <c r="F561" s="437">
        <f>ROUND(2,15)</f>
        <v>2</v>
      </c>
      <c r="G561" s="437">
        <f t="shared" si="108"/>
        <v>425.28636459385052</v>
      </c>
      <c r="H561" s="439">
        <f>ROUND(F561*G561,15)</f>
        <v>850.57272918770104</v>
      </c>
      <c r="I561" s="520">
        <v>510.41</v>
      </c>
    </row>
    <row r="562" spans="1:9" ht="15" thickBot="1">
      <c r="A562" s="94" t="s">
        <v>308</v>
      </c>
      <c r="B562" s="95" t="s">
        <v>57</v>
      </c>
      <c r="C562" s="74" t="s">
        <v>46</v>
      </c>
      <c r="D562" s="74" t="s">
        <v>49</v>
      </c>
      <c r="E562" s="78" t="s">
        <v>309</v>
      </c>
      <c r="F562" s="440">
        <f>ROUND(6.72,15)</f>
        <v>6.72</v>
      </c>
      <c r="G562" s="437">
        <f t="shared" si="108"/>
        <v>444.54219399720051</v>
      </c>
      <c r="H562" s="441">
        <f>ROUND(F562*G562,15)</f>
        <v>2987.3235436611899</v>
      </c>
      <c r="I562" s="520">
        <v>533.52</v>
      </c>
    </row>
    <row r="563" spans="1:9" ht="48" customHeight="1" thickBot="1">
      <c r="A563" s="92" t="s">
        <v>452</v>
      </c>
      <c r="B563" s="93" t="s">
        <v>148</v>
      </c>
      <c r="C563" s="58" t="s">
        <v>46</v>
      </c>
      <c r="D563" s="58" t="s">
        <v>47</v>
      </c>
      <c r="E563" s="59" t="s">
        <v>1354</v>
      </c>
      <c r="F563" s="437">
        <f>ROUND(1,15)</f>
        <v>1</v>
      </c>
      <c r="G563" s="437">
        <f t="shared" si="108"/>
        <v>561.11870164855065</v>
      </c>
      <c r="H563" s="439">
        <f>ROUND(F563*G563,15)</f>
        <v>561.118701648551</v>
      </c>
      <c r="I563" s="520">
        <v>673.43</v>
      </c>
    </row>
    <row r="564" spans="1:9" ht="26.1" customHeight="1" thickBot="1">
      <c r="A564" s="132" t="s">
        <v>453</v>
      </c>
      <c r="B564" s="133" t="s">
        <v>57</v>
      </c>
      <c r="C564" s="134" t="s">
        <v>46</v>
      </c>
      <c r="D564" s="134" t="s">
        <v>49</v>
      </c>
      <c r="E564" s="135" t="s">
        <v>1355</v>
      </c>
      <c r="F564" s="457">
        <f>ROUND(104,15)</f>
        <v>104</v>
      </c>
      <c r="G564" s="437">
        <f t="shared" si="108"/>
        <v>345.1467855365504</v>
      </c>
      <c r="H564" s="517">
        <f>ROUND(F564*G564,15)</f>
        <v>35895.265695801201</v>
      </c>
      <c r="I564" s="520">
        <v>414.23</v>
      </c>
    </row>
    <row r="565" spans="1:9" ht="15.75" thickTop="1" thickBot="1">
      <c r="A565" s="51"/>
      <c r="B565" s="52"/>
      <c r="C565" s="52"/>
      <c r="D565" s="136"/>
      <c r="E565" s="435" t="s">
        <v>451</v>
      </c>
      <c r="F565" s="416"/>
      <c r="G565" s="417">
        <f>H560+H561+H562+H563+H564</f>
        <v>42379.342872762645</v>
      </c>
      <c r="H565" s="418">
        <f>ROUND(G565,15)</f>
        <v>42379.342872762601</v>
      </c>
      <c r="I565" s="520"/>
    </row>
    <row r="566" spans="1:9" ht="15.75" thickTop="1" thickBot="1">
      <c r="A566" s="300" t="s">
        <v>454</v>
      </c>
      <c r="B566" s="301"/>
      <c r="C566" s="301" t="s">
        <v>38</v>
      </c>
      <c r="D566" s="302"/>
      <c r="E566" s="303" t="s">
        <v>312</v>
      </c>
      <c r="F566" s="304"/>
      <c r="G566" s="305">
        <f>G569</f>
        <v>10947.588931292812</v>
      </c>
      <c r="H566" s="306">
        <f>ROUND(G566,15)</f>
        <v>10947.588931292799</v>
      </c>
      <c r="I566" s="520"/>
    </row>
    <row r="567" spans="1:9" ht="26.1" customHeight="1" thickTop="1" thickBot="1">
      <c r="A567" s="90" t="s">
        <v>313</v>
      </c>
      <c r="B567" s="91" t="s">
        <v>148</v>
      </c>
      <c r="C567" s="54" t="s">
        <v>46</v>
      </c>
      <c r="D567" s="54" t="s">
        <v>49</v>
      </c>
      <c r="E567" s="55" t="s">
        <v>314</v>
      </c>
      <c r="F567" s="436">
        <f>ROUND(34.78,15)</f>
        <v>34.78</v>
      </c>
      <c r="G567" s="437">
        <f t="shared" ref="G567:G568" si="109">I567*(100%-$I$14)</f>
        <v>294.58669344675036</v>
      </c>
      <c r="H567" s="438">
        <f>ROUND(F567*G567,15)</f>
        <v>10245.725198078</v>
      </c>
      <c r="I567" s="520">
        <v>353.55</v>
      </c>
    </row>
    <row r="568" spans="1:9" ht="26.1" customHeight="1" thickBot="1">
      <c r="A568" s="96" t="s">
        <v>316</v>
      </c>
      <c r="B568" s="97" t="s">
        <v>57</v>
      </c>
      <c r="C568" s="60" t="s">
        <v>46</v>
      </c>
      <c r="D568" s="60" t="s">
        <v>49</v>
      </c>
      <c r="E568" s="61" t="s">
        <v>317</v>
      </c>
      <c r="F568" s="442">
        <f>ROUND(1.8,15)</f>
        <v>1.8</v>
      </c>
      <c r="G568" s="437">
        <f t="shared" si="109"/>
        <v>389.92429623045047</v>
      </c>
      <c r="H568" s="443">
        <f>ROUND(F568*G568,15)</f>
        <v>701.86373321481096</v>
      </c>
      <c r="I568" s="520">
        <v>467.97</v>
      </c>
    </row>
    <row r="569" spans="1:9" ht="15.75" thickTop="1" thickBot="1">
      <c r="A569" s="85"/>
      <c r="B569" s="86"/>
      <c r="C569" s="86"/>
      <c r="D569" s="141"/>
      <c r="E569" s="423" t="s">
        <v>454</v>
      </c>
      <c r="F569" s="424"/>
      <c r="G569" s="425">
        <f>H567+H568</f>
        <v>10947.588931292812</v>
      </c>
      <c r="H569" s="426">
        <f>ROUND(G569,15)</f>
        <v>10947.588931292799</v>
      </c>
      <c r="I569" s="520"/>
    </row>
    <row r="570" spans="1:9" ht="15" thickBot="1">
      <c r="A570" s="114"/>
      <c r="B570" s="115"/>
      <c r="C570" s="115"/>
      <c r="D570" s="142"/>
      <c r="E570" s="427" t="s">
        <v>450</v>
      </c>
      <c r="F570" s="428"/>
      <c r="G570" s="429">
        <f>H565+H569</f>
        <v>53326.931804055399</v>
      </c>
      <c r="H570" s="430">
        <f>ROUND(G570,15)</f>
        <v>53326.931804055399</v>
      </c>
      <c r="I570" s="520"/>
    </row>
    <row r="571" spans="1:9" ht="15.75" thickTop="1" thickBot="1">
      <c r="A571" s="272" t="s">
        <v>455</v>
      </c>
      <c r="B571" s="273"/>
      <c r="C571" s="273" t="s">
        <v>38</v>
      </c>
      <c r="D571" s="274"/>
      <c r="E571" s="275" t="s">
        <v>319</v>
      </c>
      <c r="F571" s="276"/>
      <c r="G571" s="277">
        <f>G573</f>
        <v>528.90547382596401</v>
      </c>
      <c r="H571" s="278">
        <f>ROUND(G571,15)</f>
        <v>528.90547382596401</v>
      </c>
      <c r="I571" s="520"/>
    </row>
    <row r="572" spans="1:9" ht="15.75" thickTop="1" thickBot="1">
      <c r="A572" s="109">
        <v>85005</v>
      </c>
      <c r="B572" s="110" t="s">
        <v>45</v>
      </c>
      <c r="C572" s="89" t="s">
        <v>46</v>
      </c>
      <c r="D572" s="89" t="s">
        <v>49</v>
      </c>
      <c r="E572" s="494" t="s">
        <v>320</v>
      </c>
      <c r="F572" s="515">
        <f>ROUND(1.33,15)</f>
        <v>1.33</v>
      </c>
      <c r="G572" s="457">
        <f t="shared" ref="G572" si="110">I572*(100%-$I$14)</f>
        <v>397.67328859095045</v>
      </c>
      <c r="H572" s="516">
        <f>ROUND(F572*G572,15)</f>
        <v>528.90547382596401</v>
      </c>
      <c r="I572" s="520">
        <v>477.27</v>
      </c>
    </row>
    <row r="573" spans="1:9" ht="15.75" thickTop="1" thickBot="1">
      <c r="A573" s="75"/>
      <c r="B573" s="76"/>
      <c r="C573" s="76"/>
      <c r="D573" s="77"/>
      <c r="E573" s="415" t="s">
        <v>455</v>
      </c>
      <c r="F573" s="416"/>
      <c r="G573" s="417">
        <f>H572</f>
        <v>528.90547382596401</v>
      </c>
      <c r="H573" s="418">
        <f>ROUND(G573,15)</f>
        <v>528.90547382596401</v>
      </c>
      <c r="I573" s="520"/>
    </row>
    <row r="574" spans="1:9" ht="15.75" thickTop="1" thickBot="1">
      <c r="A574" s="272" t="s">
        <v>456</v>
      </c>
      <c r="B574" s="273"/>
      <c r="C574" s="273" t="s">
        <v>38</v>
      </c>
      <c r="D574" s="274"/>
      <c r="E574" s="275" t="s">
        <v>322</v>
      </c>
      <c r="F574" s="276"/>
      <c r="G574" s="277">
        <f>G579</f>
        <v>104527.91197270055</v>
      </c>
      <c r="H574" s="278">
        <f>ROUND(G574,15)</f>
        <v>104527.911972701</v>
      </c>
      <c r="I574" s="520"/>
    </row>
    <row r="575" spans="1:9" ht="26.1" customHeight="1" thickTop="1" thickBot="1">
      <c r="A575" s="90">
        <v>94216</v>
      </c>
      <c r="B575" s="91" t="s">
        <v>45</v>
      </c>
      <c r="C575" s="54" t="s">
        <v>46</v>
      </c>
      <c r="D575" s="54" t="s">
        <v>49</v>
      </c>
      <c r="E575" s="55" t="s">
        <v>457</v>
      </c>
      <c r="F575" s="436">
        <f>ROUND(427.8,15)</f>
        <v>427.8</v>
      </c>
      <c r="G575" s="437">
        <f t="shared" ref="G575:G578" si="111">I575*(100%-$I$14)</f>
        <v>205.88989379350025</v>
      </c>
      <c r="H575" s="438">
        <f>ROUND(F575*G575,15)</f>
        <v>88079.696564859405</v>
      </c>
      <c r="I575" s="520">
        <v>247.1</v>
      </c>
    </row>
    <row r="576" spans="1:9" ht="26.1" customHeight="1" thickBot="1">
      <c r="A576" s="92">
        <v>94213</v>
      </c>
      <c r="B576" s="93" t="s">
        <v>45</v>
      </c>
      <c r="C576" s="58" t="s">
        <v>46</v>
      </c>
      <c r="D576" s="58" t="s">
        <v>49</v>
      </c>
      <c r="E576" s="59" t="s">
        <v>323</v>
      </c>
      <c r="F576" s="437">
        <f>ROUND(195.54,15)</f>
        <v>195.54</v>
      </c>
      <c r="G576" s="437">
        <f t="shared" si="111"/>
        <v>69.024357757400082</v>
      </c>
      <c r="H576" s="439">
        <f>ROUND(F576*G576,15)</f>
        <v>13497.022915882</v>
      </c>
      <c r="I576" s="520">
        <v>82.84</v>
      </c>
    </row>
    <row r="577" spans="1:9" ht="26.1" customHeight="1" thickBot="1">
      <c r="A577" s="92">
        <v>94227</v>
      </c>
      <c r="B577" s="93" t="s">
        <v>45</v>
      </c>
      <c r="C577" s="58" t="s">
        <v>46</v>
      </c>
      <c r="D577" s="58" t="s">
        <v>68</v>
      </c>
      <c r="E577" s="59" t="s">
        <v>324</v>
      </c>
      <c r="F577" s="437">
        <f>ROUND(46.45,15)</f>
        <v>46.45</v>
      </c>
      <c r="G577" s="437">
        <f t="shared" si="111"/>
        <v>42.219509989950048</v>
      </c>
      <c r="H577" s="439">
        <f>ROUND(F577*G577,15)</f>
        <v>1961.0962390331799</v>
      </c>
      <c r="I577" s="520">
        <v>50.67</v>
      </c>
    </row>
    <row r="578" spans="1:9" ht="26.1" customHeight="1" thickBot="1">
      <c r="A578" s="96">
        <v>94231</v>
      </c>
      <c r="B578" s="97" t="s">
        <v>45</v>
      </c>
      <c r="C578" s="60" t="s">
        <v>46</v>
      </c>
      <c r="D578" s="60" t="s">
        <v>68</v>
      </c>
      <c r="E578" s="61" t="s">
        <v>325</v>
      </c>
      <c r="F578" s="442">
        <f>ROUND(29.16,15)</f>
        <v>29.16</v>
      </c>
      <c r="G578" s="457">
        <f t="shared" si="111"/>
        <v>33.953918138750041</v>
      </c>
      <c r="H578" s="443">
        <f>ROUND(F578*G578,15)</f>
        <v>990.09625292595103</v>
      </c>
      <c r="I578" s="520">
        <v>40.75</v>
      </c>
    </row>
    <row r="579" spans="1:9" ht="15.75" thickTop="1" thickBot="1">
      <c r="A579" s="75"/>
      <c r="B579" s="76"/>
      <c r="C579" s="76"/>
      <c r="D579" s="77"/>
      <c r="E579" s="419" t="s">
        <v>456</v>
      </c>
      <c r="F579" s="495"/>
      <c r="G579" s="497">
        <f>H575+H576+H577+H578</f>
        <v>104527.91197270055</v>
      </c>
      <c r="H579" s="496">
        <f>ROUND(G579,15)</f>
        <v>104527.911972701</v>
      </c>
      <c r="I579" s="520"/>
    </row>
    <row r="580" spans="1:9" ht="15.75" thickTop="1" thickBot="1">
      <c r="A580" s="307" t="s">
        <v>458</v>
      </c>
      <c r="B580" s="308"/>
      <c r="C580" s="308" t="s">
        <v>38</v>
      </c>
      <c r="D580" s="309"/>
      <c r="E580" s="310" t="s">
        <v>331</v>
      </c>
      <c r="F580" s="311"/>
      <c r="G580" s="312">
        <f>G621</f>
        <v>178379.69208001823</v>
      </c>
      <c r="H580" s="342">
        <f>ROUND(G580,15)</f>
        <v>178379.69208001799</v>
      </c>
      <c r="I580" s="520"/>
    </row>
    <row r="581" spans="1:9" ht="15" thickBot="1">
      <c r="A581" s="293" t="s">
        <v>459</v>
      </c>
      <c r="B581" s="294"/>
      <c r="C581" s="294" t="s">
        <v>38</v>
      </c>
      <c r="D581" s="295"/>
      <c r="E581" s="296" t="s">
        <v>333</v>
      </c>
      <c r="F581" s="297"/>
      <c r="G581" s="298">
        <f>G584</f>
        <v>43735.726912157057</v>
      </c>
      <c r="H581" s="343">
        <f>ROUND(G581,15)</f>
        <v>43735.726912157101</v>
      </c>
      <c r="I581" s="520"/>
    </row>
    <row r="582" spans="1:9" ht="26.1" customHeight="1" thickTop="1" thickBot="1">
      <c r="A582" s="90" t="s">
        <v>460</v>
      </c>
      <c r="B582" s="91" t="s">
        <v>148</v>
      </c>
      <c r="C582" s="54" t="s">
        <v>46</v>
      </c>
      <c r="D582" s="54" t="s">
        <v>49</v>
      </c>
      <c r="E582" s="55" t="s">
        <v>461</v>
      </c>
      <c r="F582" s="436">
        <f>ROUND(119.33,15)</f>
        <v>119.33</v>
      </c>
      <c r="G582" s="437">
        <f t="shared" ref="G582:G583" si="112">I582*(100%-$I$14)</f>
        <v>70.765797976050095</v>
      </c>
      <c r="H582" s="438">
        <f>ROUND(F582*G582,15)</f>
        <v>8444.4826724820596</v>
      </c>
      <c r="I582" s="520">
        <v>84.93</v>
      </c>
    </row>
    <row r="583" spans="1:9" ht="26.1" customHeight="1" thickBot="1">
      <c r="A583" s="96" t="s">
        <v>339</v>
      </c>
      <c r="B583" s="97" t="s">
        <v>57</v>
      </c>
      <c r="C583" s="60" t="s">
        <v>46</v>
      </c>
      <c r="D583" s="60" t="s">
        <v>49</v>
      </c>
      <c r="E583" s="61" t="s">
        <v>340</v>
      </c>
      <c r="F583" s="442">
        <f>ROUND(500,15)</f>
        <v>500</v>
      </c>
      <c r="G583" s="457">
        <f t="shared" si="112"/>
        <v>70.582488479350076</v>
      </c>
      <c r="H583" s="443">
        <f>ROUND(F583*G583,15)</f>
        <v>35291.244239674998</v>
      </c>
      <c r="I583" s="520">
        <v>84.71</v>
      </c>
    </row>
    <row r="584" spans="1:9" ht="15.75" thickTop="1" thickBot="1">
      <c r="A584" s="75"/>
      <c r="B584" s="76"/>
      <c r="C584" s="76"/>
      <c r="D584" s="77"/>
      <c r="E584" s="419" t="s">
        <v>459</v>
      </c>
      <c r="F584" s="420"/>
      <c r="G584" s="417">
        <f>H582+H583</f>
        <v>43735.726912157057</v>
      </c>
      <c r="H584" s="422">
        <f>ROUND(G584,15)</f>
        <v>43735.726912157101</v>
      </c>
      <c r="I584" s="520"/>
    </row>
    <row r="585" spans="1:9" ht="15.75" thickTop="1" thickBot="1">
      <c r="A585" s="300" t="s">
        <v>462</v>
      </c>
      <c r="B585" s="301"/>
      <c r="C585" s="301" t="s">
        <v>38</v>
      </c>
      <c r="D585" s="302"/>
      <c r="E585" s="303" t="s">
        <v>342</v>
      </c>
      <c r="F585" s="304"/>
      <c r="G585" s="305">
        <f>G588</f>
        <v>30233.541250945498</v>
      </c>
      <c r="H585" s="306">
        <f>ROUND(G585,15)</f>
        <v>30233.541250945502</v>
      </c>
      <c r="I585" s="520"/>
    </row>
    <row r="586" spans="1:9" ht="26.1" customHeight="1" thickTop="1" thickBot="1">
      <c r="A586" s="90">
        <v>87242</v>
      </c>
      <c r="B586" s="91" t="s">
        <v>45</v>
      </c>
      <c r="C586" s="54" t="s">
        <v>46</v>
      </c>
      <c r="D586" s="54" t="s">
        <v>49</v>
      </c>
      <c r="E586" s="55" t="s">
        <v>343</v>
      </c>
      <c r="F586" s="436">
        <f>ROUND(179.86,15)</f>
        <v>179.86</v>
      </c>
      <c r="G586" s="437">
        <f t="shared" ref="G586:G587" si="113">I586*(100%-$I$14)</f>
        <v>150.61374828860016</v>
      </c>
      <c r="H586" s="438">
        <f>ROUND(F586*G586,15)</f>
        <v>27089.3887671876</v>
      </c>
      <c r="I586" s="520">
        <v>180.76</v>
      </c>
    </row>
    <row r="587" spans="1:9" ht="26.1" customHeight="1" thickBot="1">
      <c r="A587" s="96" t="s">
        <v>463</v>
      </c>
      <c r="B587" s="97" t="s">
        <v>148</v>
      </c>
      <c r="C587" s="60" t="s">
        <v>46</v>
      </c>
      <c r="D587" s="60" t="s">
        <v>49</v>
      </c>
      <c r="E587" s="61" t="s">
        <v>464</v>
      </c>
      <c r="F587" s="442">
        <f>ROUND(84.38,15)</f>
        <v>84.38</v>
      </c>
      <c r="G587" s="457">
        <f t="shared" si="113"/>
        <v>37.261821329200039</v>
      </c>
      <c r="H587" s="443">
        <f>ROUND(F587*G587,15)</f>
        <v>3144.1524837579</v>
      </c>
      <c r="I587" s="520">
        <v>44.72</v>
      </c>
    </row>
    <row r="588" spans="1:9" ht="15.75" thickTop="1" thickBot="1">
      <c r="A588" s="75"/>
      <c r="B588" s="76"/>
      <c r="C588" s="76"/>
      <c r="D588" s="77"/>
      <c r="E588" s="419" t="s">
        <v>462</v>
      </c>
      <c r="F588" s="420"/>
      <c r="G588" s="417">
        <f>H586+H587</f>
        <v>30233.541250945498</v>
      </c>
      <c r="H588" s="422">
        <f>ROUND(G588,15)</f>
        <v>30233.541250945502</v>
      </c>
      <c r="I588" s="520"/>
    </row>
    <row r="589" spans="1:9" ht="15.75" thickTop="1" thickBot="1">
      <c r="A589" s="314" t="s">
        <v>465</v>
      </c>
      <c r="B589" s="315"/>
      <c r="C589" s="315" t="s">
        <v>38</v>
      </c>
      <c r="D589" s="316"/>
      <c r="E589" s="317" t="s">
        <v>351</v>
      </c>
      <c r="F589" s="318"/>
      <c r="G589" s="319">
        <f>G609</f>
        <v>54488.988029515684</v>
      </c>
      <c r="H589" s="344">
        <f>ROUND(G589,15)</f>
        <v>54488.988029515698</v>
      </c>
      <c r="I589" s="520"/>
    </row>
    <row r="590" spans="1:9" ht="15" thickBot="1">
      <c r="A590" s="321" t="s">
        <v>466</v>
      </c>
      <c r="B590" s="322"/>
      <c r="C590" s="322" t="s">
        <v>38</v>
      </c>
      <c r="D590" s="323"/>
      <c r="E590" s="324" t="s">
        <v>353</v>
      </c>
      <c r="F590" s="325"/>
      <c r="G590" s="326">
        <f>G593</f>
        <v>17761.77293284404</v>
      </c>
      <c r="H590" s="345">
        <f>ROUND(G590,15)</f>
        <v>17761.772932844</v>
      </c>
      <c r="I590" s="520"/>
    </row>
    <row r="591" spans="1:9" ht="15.75" thickTop="1" thickBot="1">
      <c r="A591" s="100">
        <v>88497</v>
      </c>
      <c r="B591" s="101" t="s">
        <v>45</v>
      </c>
      <c r="C591" s="64" t="s">
        <v>46</v>
      </c>
      <c r="D591" s="64" t="s">
        <v>49</v>
      </c>
      <c r="E591" s="65" t="s">
        <v>354</v>
      </c>
      <c r="F591" s="446">
        <f>ROUND(795.11,15)</f>
        <v>795.11</v>
      </c>
      <c r="G591" s="437">
        <f t="shared" ref="G591:G592" si="114">I591*(100%-$I$14)</f>
        <v>11.440179044050014</v>
      </c>
      <c r="H591" s="447">
        <f>ROUND(F591*G591,15)</f>
        <v>9096.2007597146094</v>
      </c>
      <c r="I591" s="520">
        <v>13.73</v>
      </c>
    </row>
    <row r="592" spans="1:9" ht="26.1" customHeight="1" thickBot="1">
      <c r="A592" s="96">
        <v>88489</v>
      </c>
      <c r="B592" s="97" t="s">
        <v>45</v>
      </c>
      <c r="C592" s="60" t="s">
        <v>46</v>
      </c>
      <c r="D592" s="60" t="s">
        <v>49</v>
      </c>
      <c r="E592" s="61" t="s">
        <v>355</v>
      </c>
      <c r="F592" s="442">
        <f>ROUND(795.11,15)</f>
        <v>795.11</v>
      </c>
      <c r="G592" s="457">
        <f t="shared" si="114"/>
        <v>10.898582803800013</v>
      </c>
      <c r="H592" s="443">
        <f>ROUND(F592*G592,15)</f>
        <v>8665.5721731294307</v>
      </c>
      <c r="I592" s="520">
        <v>13.08</v>
      </c>
    </row>
    <row r="593" spans="1:9" ht="15.75" thickTop="1" thickBot="1">
      <c r="A593" s="75"/>
      <c r="B593" s="76"/>
      <c r="C593" s="76"/>
      <c r="D593" s="77"/>
      <c r="E593" s="419" t="s">
        <v>466</v>
      </c>
      <c r="F593" s="420"/>
      <c r="G593" s="417">
        <f>H591+H592</f>
        <v>17761.77293284404</v>
      </c>
      <c r="H593" s="422">
        <f>ROUND(G593,15)</f>
        <v>17761.772932844</v>
      </c>
      <c r="I593" s="520"/>
    </row>
    <row r="594" spans="1:9" ht="15.75" thickTop="1" thickBot="1">
      <c r="A594" s="328" t="s">
        <v>467</v>
      </c>
      <c r="B594" s="329"/>
      <c r="C594" s="329" t="s">
        <v>38</v>
      </c>
      <c r="D594" s="330"/>
      <c r="E594" s="331" t="s">
        <v>357</v>
      </c>
      <c r="F594" s="332"/>
      <c r="G594" s="333">
        <f>G597</f>
        <v>2958.0049394364901</v>
      </c>
      <c r="H594" s="346">
        <f>ROUND(G594,15)</f>
        <v>2958.0049394364901</v>
      </c>
      <c r="I594" s="520"/>
    </row>
    <row r="595" spans="1:9" ht="15.75" thickTop="1" thickBot="1">
      <c r="A595" s="100">
        <v>88494</v>
      </c>
      <c r="B595" s="101" t="s">
        <v>45</v>
      </c>
      <c r="C595" s="64" t="s">
        <v>46</v>
      </c>
      <c r="D595" s="64" t="s">
        <v>49</v>
      </c>
      <c r="E595" s="65" t="s">
        <v>358</v>
      </c>
      <c r="F595" s="446">
        <f>ROUND(119.33,15)</f>
        <v>119.33</v>
      </c>
      <c r="G595" s="437">
        <f t="shared" ref="G595:G596" si="115">I595*(100%-$I$14)</f>
        <v>15.164694727000017</v>
      </c>
      <c r="H595" s="447">
        <f>ROUND(F595*G595,15)</f>
        <v>1809.6030217729101</v>
      </c>
      <c r="I595" s="520">
        <v>18.2</v>
      </c>
    </row>
    <row r="596" spans="1:9" ht="15" thickBot="1">
      <c r="A596" s="102">
        <v>88486</v>
      </c>
      <c r="B596" s="103" t="s">
        <v>45</v>
      </c>
      <c r="C596" s="66" t="s">
        <v>46</v>
      </c>
      <c r="D596" s="66" t="s">
        <v>49</v>
      </c>
      <c r="E596" s="67" t="s">
        <v>359</v>
      </c>
      <c r="F596" s="450">
        <f>ROUND(119.33,15)</f>
        <v>119.33</v>
      </c>
      <c r="G596" s="457">
        <f t="shared" si="115"/>
        <v>9.6237485767500122</v>
      </c>
      <c r="H596" s="451">
        <f>ROUND(F596*G596,15)</f>
        <v>1148.40191766358</v>
      </c>
      <c r="I596" s="520">
        <v>11.55</v>
      </c>
    </row>
    <row r="597" spans="1:9" ht="15.75" thickTop="1" thickBot="1">
      <c r="A597" s="51"/>
      <c r="B597" s="52"/>
      <c r="C597" s="52"/>
      <c r="D597" s="53"/>
      <c r="E597" s="415" t="s">
        <v>467</v>
      </c>
      <c r="F597" s="416"/>
      <c r="G597" s="417">
        <f>H595+H596</f>
        <v>2958.0049394364901</v>
      </c>
      <c r="H597" s="418">
        <f>ROUND(G597,15)</f>
        <v>2958.0049394364901</v>
      </c>
      <c r="I597" s="520"/>
    </row>
    <row r="598" spans="1:9" ht="15.75" thickTop="1" thickBot="1">
      <c r="A598" s="328" t="s">
        <v>468</v>
      </c>
      <c r="B598" s="329"/>
      <c r="C598" s="329" t="s">
        <v>38</v>
      </c>
      <c r="D598" s="330"/>
      <c r="E598" s="331" t="s">
        <v>361</v>
      </c>
      <c r="F598" s="332"/>
      <c r="G598" s="333">
        <f>G601</f>
        <v>8603.8825282699891</v>
      </c>
      <c r="H598" s="346">
        <f>ROUND(G598,15)</f>
        <v>8603.8825282699909</v>
      </c>
      <c r="I598" s="520"/>
    </row>
    <row r="599" spans="1:9" ht="26.1" customHeight="1" thickTop="1" thickBot="1">
      <c r="A599" s="90">
        <v>88489</v>
      </c>
      <c r="B599" s="91" t="s">
        <v>45</v>
      </c>
      <c r="C599" s="54" t="s">
        <v>46</v>
      </c>
      <c r="D599" s="54" t="s">
        <v>49</v>
      </c>
      <c r="E599" s="55" t="s">
        <v>355</v>
      </c>
      <c r="F599" s="436">
        <f>ROUND(424.24,15)</f>
        <v>424.24</v>
      </c>
      <c r="G599" s="437">
        <f t="shared" ref="G599:G600" si="116">I599*(100%-$I$14)</f>
        <v>10.898582803800013</v>
      </c>
      <c r="H599" s="438">
        <f>ROUND(F599*G599,15)</f>
        <v>4623.6147686841196</v>
      </c>
      <c r="I599" s="520">
        <v>13.08</v>
      </c>
    </row>
    <row r="600" spans="1:9" ht="15" thickBot="1">
      <c r="A600" s="102" t="s">
        <v>362</v>
      </c>
      <c r="B600" s="103" t="s">
        <v>148</v>
      </c>
      <c r="C600" s="66" t="s">
        <v>46</v>
      </c>
      <c r="D600" s="66" t="s">
        <v>49</v>
      </c>
      <c r="E600" s="67" t="s">
        <v>363</v>
      </c>
      <c r="F600" s="450">
        <f>ROUND(424.24,15)</f>
        <v>424.24</v>
      </c>
      <c r="G600" s="457">
        <f t="shared" si="116"/>
        <v>9.38211333110001</v>
      </c>
      <c r="H600" s="451">
        <f>ROUND(F600*G600,15)</f>
        <v>3980.26775958587</v>
      </c>
      <c r="I600" s="520">
        <v>11.26</v>
      </c>
    </row>
    <row r="601" spans="1:9" ht="15.75" thickTop="1" thickBot="1">
      <c r="A601" s="75"/>
      <c r="B601" s="76"/>
      <c r="C601" s="76"/>
      <c r="D601" s="77"/>
      <c r="E601" s="419" t="s">
        <v>468</v>
      </c>
      <c r="F601" s="420"/>
      <c r="G601" s="417">
        <f>H599+H600</f>
        <v>8603.8825282699891</v>
      </c>
      <c r="H601" s="422">
        <f>ROUND(G601,15)</f>
        <v>8603.8825282699909</v>
      </c>
      <c r="I601" s="520"/>
    </row>
    <row r="602" spans="1:9" ht="15.75" thickTop="1" thickBot="1">
      <c r="A602" s="328" t="s">
        <v>469</v>
      </c>
      <c r="B602" s="329"/>
      <c r="C602" s="329" t="s">
        <v>38</v>
      </c>
      <c r="D602" s="330"/>
      <c r="E602" s="331" t="s">
        <v>365</v>
      </c>
      <c r="F602" s="332"/>
      <c r="G602" s="333">
        <f>G604</f>
        <v>20197.3736364</v>
      </c>
      <c r="H602" s="346">
        <f>ROUND(G602,15)</f>
        <v>20197.3736364</v>
      </c>
      <c r="I602" s="520"/>
    </row>
    <row r="603" spans="1:9" ht="15.75" thickTop="1" thickBot="1">
      <c r="A603" s="130">
        <v>72815</v>
      </c>
      <c r="B603" s="89" t="s">
        <v>45</v>
      </c>
      <c r="C603" s="89" t="s">
        <v>46</v>
      </c>
      <c r="D603" s="89" t="s">
        <v>49</v>
      </c>
      <c r="E603" s="108" t="s">
        <v>1435</v>
      </c>
      <c r="F603" s="513">
        <f>ROUND(500,15)</f>
        <v>500</v>
      </c>
      <c r="G603" s="457">
        <f t="shared" ref="G603" si="117">I603*(100%-$I$14)</f>
        <v>40.394747272800046</v>
      </c>
      <c r="H603" s="514">
        <f>ROUND(F603*G603,15)</f>
        <v>20197.3736364</v>
      </c>
      <c r="I603" s="520">
        <v>48.48</v>
      </c>
    </row>
    <row r="604" spans="1:9" ht="15.75" thickTop="1" thickBot="1">
      <c r="A604" s="75"/>
      <c r="B604" s="76"/>
      <c r="C604" s="76"/>
      <c r="D604" s="77"/>
      <c r="E604" s="419" t="s">
        <v>469</v>
      </c>
      <c r="F604" s="420"/>
      <c r="G604" s="417">
        <f>H603</f>
        <v>20197.3736364</v>
      </c>
      <c r="H604" s="422">
        <f>ROUND(G604,15)</f>
        <v>20197.3736364</v>
      </c>
      <c r="I604" s="520"/>
    </row>
    <row r="605" spans="1:9" ht="15.75" thickTop="1" thickBot="1">
      <c r="A605" s="328" t="s">
        <v>470</v>
      </c>
      <c r="B605" s="329"/>
      <c r="C605" s="329" t="s">
        <v>38</v>
      </c>
      <c r="D605" s="330"/>
      <c r="E605" s="331" t="s">
        <v>471</v>
      </c>
      <c r="F605" s="332"/>
      <c r="G605" s="333">
        <f>G608</f>
        <v>4967.9539925651998</v>
      </c>
      <c r="H605" s="346">
        <f>ROUND(G605,15)</f>
        <v>4967.9539925651998</v>
      </c>
      <c r="I605" s="520"/>
    </row>
    <row r="606" spans="1:9" ht="26.1" customHeight="1" thickTop="1" thickBot="1">
      <c r="A606" s="90">
        <v>100757</v>
      </c>
      <c r="B606" s="91" t="s">
        <v>45</v>
      </c>
      <c r="C606" s="54" t="s">
        <v>46</v>
      </c>
      <c r="D606" s="54" t="s">
        <v>49</v>
      </c>
      <c r="E606" s="55" t="s">
        <v>472</v>
      </c>
      <c r="F606" s="436">
        <f>ROUND(104,15)</f>
        <v>104</v>
      </c>
      <c r="G606" s="437">
        <f t="shared" ref="G606:G607" si="118">I606*(100%-$I$14)</f>
        <v>32.079161922500035</v>
      </c>
      <c r="H606" s="438">
        <f>ROUND(F606*G606,15)</f>
        <v>3336.2328399399998</v>
      </c>
      <c r="I606" s="520">
        <v>38.5</v>
      </c>
    </row>
    <row r="607" spans="1:9" ht="26.1" customHeight="1" thickBot="1">
      <c r="A607" s="96">
        <v>100721</v>
      </c>
      <c r="B607" s="97" t="s">
        <v>45</v>
      </c>
      <c r="C607" s="60" t="s">
        <v>46</v>
      </c>
      <c r="D607" s="60" t="s">
        <v>49</v>
      </c>
      <c r="E607" s="61" t="s">
        <v>473</v>
      </c>
      <c r="F607" s="442">
        <f>ROUND(104,15)</f>
        <v>104</v>
      </c>
      <c r="G607" s="437">
        <f t="shared" si="118"/>
        <v>15.689626467550017</v>
      </c>
      <c r="H607" s="443">
        <f>ROUND(F607*G607,15)</f>
        <v>1631.7211526251999</v>
      </c>
      <c r="I607" s="520">
        <v>18.829999999999998</v>
      </c>
    </row>
    <row r="608" spans="1:9" ht="15.75" thickTop="1" thickBot="1">
      <c r="A608" s="85"/>
      <c r="B608" s="86"/>
      <c r="C608" s="86"/>
      <c r="D608" s="141"/>
      <c r="E608" s="423" t="s">
        <v>470</v>
      </c>
      <c r="F608" s="424"/>
      <c r="G608" s="425">
        <f>H606+H607</f>
        <v>4967.9539925651998</v>
      </c>
      <c r="H608" s="426">
        <f>ROUND(G608,15)</f>
        <v>4967.9539925651998</v>
      </c>
      <c r="I608" s="520"/>
    </row>
    <row r="609" spans="1:9" ht="15" thickBot="1">
      <c r="A609" s="75"/>
      <c r="B609" s="76"/>
      <c r="C609" s="76"/>
      <c r="D609" s="77"/>
      <c r="E609" s="427" t="s">
        <v>465</v>
      </c>
      <c r="F609" s="428"/>
      <c r="G609" s="429">
        <f>H593+H597+H601+H604+H608</f>
        <v>54488.988029515684</v>
      </c>
      <c r="H609" s="430">
        <f>ROUND(G609,15)</f>
        <v>54488.988029515698</v>
      </c>
      <c r="I609" s="520"/>
    </row>
    <row r="610" spans="1:9" ht="15.75" thickTop="1" thickBot="1">
      <c r="A610" s="314" t="s">
        <v>474</v>
      </c>
      <c r="B610" s="315"/>
      <c r="C610" s="315" t="s">
        <v>38</v>
      </c>
      <c r="D610" s="316"/>
      <c r="E610" s="317" t="s">
        <v>370</v>
      </c>
      <c r="F610" s="318"/>
      <c r="G610" s="319">
        <f>G620</f>
        <v>49921.435887399901</v>
      </c>
      <c r="H610" s="344">
        <f>ROUND(G610,15)</f>
        <v>49921.435887399901</v>
      </c>
      <c r="I610" s="520"/>
    </row>
    <row r="611" spans="1:9" ht="15" thickBot="1">
      <c r="A611" s="321" t="s">
        <v>475</v>
      </c>
      <c r="B611" s="322"/>
      <c r="C611" s="322" t="s">
        <v>38</v>
      </c>
      <c r="D611" s="323"/>
      <c r="E611" s="324" t="s">
        <v>353</v>
      </c>
      <c r="F611" s="325"/>
      <c r="G611" s="326">
        <f>G615</f>
        <v>26318.505092307878</v>
      </c>
      <c r="H611" s="345">
        <f>ROUND(G611,15)</f>
        <v>26318.5050923079</v>
      </c>
      <c r="I611" s="520"/>
    </row>
    <row r="612" spans="1:9" ht="26.1" customHeight="1" thickTop="1" thickBot="1">
      <c r="A612" s="90">
        <v>87879</v>
      </c>
      <c r="B612" s="91" t="s">
        <v>45</v>
      </c>
      <c r="C612" s="54" t="s">
        <v>46</v>
      </c>
      <c r="D612" s="54" t="s">
        <v>49</v>
      </c>
      <c r="E612" s="55" t="s">
        <v>372</v>
      </c>
      <c r="F612" s="436">
        <f>ROUND(968.82,15)</f>
        <v>968.82</v>
      </c>
      <c r="G612" s="437">
        <f t="shared" ref="G612:G614" si="119">I612*(100%-$I$14)</f>
        <v>2.8412971988500035</v>
      </c>
      <c r="H612" s="438">
        <f>ROUND(F612*G612,15)</f>
        <v>2752.7055521898601</v>
      </c>
      <c r="I612" s="520">
        <v>3.41</v>
      </c>
    </row>
    <row r="613" spans="1:9" ht="36" customHeight="1" thickBot="1">
      <c r="A613" s="92">
        <v>87529</v>
      </c>
      <c r="B613" s="93" t="s">
        <v>45</v>
      </c>
      <c r="C613" s="58" t="s">
        <v>46</v>
      </c>
      <c r="D613" s="58" t="s">
        <v>49</v>
      </c>
      <c r="E613" s="59" t="s">
        <v>1356</v>
      </c>
      <c r="F613" s="437">
        <f>ROUND(795.11,15)</f>
        <v>795.11</v>
      </c>
      <c r="G613" s="437">
        <f t="shared" si="119"/>
        <v>24.98008505030003</v>
      </c>
      <c r="H613" s="439">
        <f>ROUND(F613*G613,15)</f>
        <v>19861.915424344101</v>
      </c>
      <c r="I613" s="520">
        <v>29.98</v>
      </c>
    </row>
    <row r="614" spans="1:9" ht="36" customHeight="1" thickBot="1">
      <c r="A614" s="96">
        <v>87535</v>
      </c>
      <c r="B614" s="97" t="s">
        <v>45</v>
      </c>
      <c r="C614" s="60" t="s">
        <v>46</v>
      </c>
      <c r="D614" s="60" t="s">
        <v>49</v>
      </c>
      <c r="E614" s="61" t="s">
        <v>374</v>
      </c>
      <c r="F614" s="442">
        <f>ROUND(173.71,15)</f>
        <v>173.71</v>
      </c>
      <c r="G614" s="437">
        <f t="shared" si="119"/>
        <v>21.322227366150024</v>
      </c>
      <c r="H614" s="443">
        <f>ROUND(F614*G614,15)</f>
        <v>3703.8841157739198</v>
      </c>
      <c r="I614" s="520">
        <v>25.59</v>
      </c>
    </row>
    <row r="615" spans="1:9" ht="15.75" thickTop="1" thickBot="1">
      <c r="A615" s="75"/>
      <c r="B615" s="76"/>
      <c r="C615" s="76"/>
      <c r="D615" s="77"/>
      <c r="E615" s="435" t="s">
        <v>475</v>
      </c>
      <c r="F615" s="416"/>
      <c r="G615" s="417">
        <f>H612+H613+H614</f>
        <v>26318.505092307878</v>
      </c>
      <c r="H615" s="418">
        <f>ROUND(G615,15)</f>
        <v>26318.5050923079</v>
      </c>
      <c r="I615" s="520"/>
    </row>
    <row r="616" spans="1:9" ht="15.75" thickTop="1" thickBot="1">
      <c r="A616" s="328" t="s">
        <v>476</v>
      </c>
      <c r="B616" s="329"/>
      <c r="C616" s="329" t="s">
        <v>38</v>
      </c>
      <c r="D616" s="330"/>
      <c r="E616" s="331" t="s">
        <v>361</v>
      </c>
      <c r="F616" s="332"/>
      <c r="G616" s="333">
        <f>G619</f>
        <v>23602.930795092019</v>
      </c>
      <c r="H616" s="346">
        <f>ROUND(G616,15)</f>
        <v>23602.930795092001</v>
      </c>
      <c r="I616" s="520"/>
    </row>
    <row r="617" spans="1:9" ht="35.25" thickTop="1" thickBot="1">
      <c r="A617" s="90">
        <v>87905</v>
      </c>
      <c r="B617" s="91" t="s">
        <v>45</v>
      </c>
      <c r="C617" s="54" t="s">
        <v>46</v>
      </c>
      <c r="D617" s="54" t="s">
        <v>49</v>
      </c>
      <c r="E617" s="55" t="s">
        <v>376</v>
      </c>
      <c r="F617" s="56">
        <f>ROUND(515.04,15)</f>
        <v>515.04</v>
      </c>
      <c r="G617" s="437">
        <f t="shared" ref="G617:G618" si="120">I617*(100%-$I$14)</f>
        <v>6.2325228878000081</v>
      </c>
      <c r="H617" s="57">
        <f>ROUND(F617*G617,15)</f>
        <v>3209.9985881325201</v>
      </c>
      <c r="I617" s="520">
        <v>7.48</v>
      </c>
    </row>
    <row r="618" spans="1:9" ht="34.5" thickBot="1">
      <c r="A618" s="96">
        <v>87775</v>
      </c>
      <c r="B618" s="97" t="s">
        <v>45</v>
      </c>
      <c r="C618" s="60" t="s">
        <v>46</v>
      </c>
      <c r="D618" s="60" t="s">
        <v>49</v>
      </c>
      <c r="E618" s="61" t="s">
        <v>377</v>
      </c>
      <c r="F618" s="62">
        <f>ROUND(515.04,15)</f>
        <v>515.04</v>
      </c>
      <c r="G618" s="437">
        <f t="shared" si="120"/>
        <v>39.594851287200051</v>
      </c>
      <c r="H618" s="63">
        <f>ROUND(F618*G618,15)</f>
        <v>20392.9322069595</v>
      </c>
      <c r="I618" s="520">
        <v>47.52</v>
      </c>
    </row>
    <row r="619" spans="1:9" ht="15.75" thickTop="1" thickBot="1">
      <c r="A619" s="85"/>
      <c r="B619" s="86"/>
      <c r="C619" s="86"/>
      <c r="D619" s="112"/>
      <c r="E619" s="423" t="s">
        <v>476</v>
      </c>
      <c r="F619" s="424"/>
      <c r="G619" s="425">
        <f>H617+H618</f>
        <v>23602.930795092019</v>
      </c>
      <c r="H619" s="426">
        <f>ROUND(G619,15)</f>
        <v>23602.930795092001</v>
      </c>
      <c r="I619" s="520"/>
    </row>
    <row r="620" spans="1:9" ht="15" thickBot="1">
      <c r="A620" s="75"/>
      <c r="B620" s="76"/>
      <c r="C620" s="76"/>
      <c r="D620" s="113"/>
      <c r="E620" s="427" t="s">
        <v>474</v>
      </c>
      <c r="F620" s="428"/>
      <c r="G620" s="429">
        <f>H615+H619</f>
        <v>49921.435887399901</v>
      </c>
      <c r="H620" s="430">
        <f>ROUND(G620,15)</f>
        <v>49921.435887399901</v>
      </c>
      <c r="I620" s="520"/>
    </row>
    <row r="621" spans="1:9" ht="15.75" thickTop="1" thickBot="1">
      <c r="A621" s="114"/>
      <c r="B621" s="115"/>
      <c r="C621" s="115"/>
      <c r="D621" s="116"/>
      <c r="E621" s="104" t="s">
        <v>458</v>
      </c>
      <c r="F621" s="105"/>
      <c r="G621" s="106">
        <f>H584+H588+H609+H620</f>
        <v>178379.69208001823</v>
      </c>
      <c r="H621" s="107">
        <f>ROUND(G621,15)</f>
        <v>178379.69208001799</v>
      </c>
      <c r="I621" s="520"/>
    </row>
    <row r="622" spans="1:9" ht="15.75" thickTop="1" thickBot="1">
      <c r="A622" s="307" t="s">
        <v>477</v>
      </c>
      <c r="B622" s="308"/>
      <c r="C622" s="308" t="s">
        <v>38</v>
      </c>
      <c r="D622" s="309"/>
      <c r="E622" s="310" t="s">
        <v>379</v>
      </c>
      <c r="F622" s="311"/>
      <c r="G622" s="312">
        <f>G635</f>
        <v>10389.84479083348</v>
      </c>
      <c r="H622" s="342">
        <f>ROUND(G622,15)</f>
        <v>10389.8447908335</v>
      </c>
      <c r="I622" s="520"/>
    </row>
    <row r="623" spans="1:9" ht="15" thickBot="1">
      <c r="A623" s="293" t="s">
        <v>478</v>
      </c>
      <c r="B623" s="294"/>
      <c r="C623" s="294" t="s">
        <v>38</v>
      </c>
      <c r="D623" s="295"/>
      <c r="E623" s="296" t="s">
        <v>381</v>
      </c>
      <c r="F623" s="297"/>
      <c r="G623" s="298">
        <f>G625</f>
        <v>3345.2295867155399</v>
      </c>
      <c r="H623" s="343">
        <f>ROUND(G623,15)</f>
        <v>3345.2295867155399</v>
      </c>
      <c r="I623" s="520"/>
    </row>
    <row r="624" spans="1:9" ht="15.75" thickTop="1" thickBot="1">
      <c r="A624" s="109" t="s">
        <v>382</v>
      </c>
      <c r="B624" s="110" t="s">
        <v>57</v>
      </c>
      <c r="C624" s="89" t="s">
        <v>46</v>
      </c>
      <c r="D624" s="89" t="s">
        <v>68</v>
      </c>
      <c r="E624" s="108" t="s">
        <v>383</v>
      </c>
      <c r="F624" s="513">
        <f>ROUND(149.75,15)</f>
        <v>149.75</v>
      </c>
      <c r="G624" s="448">
        <f t="shared" ref="G624" si="121">I624*(100%-$I$14)</f>
        <v>22.338761847850026</v>
      </c>
      <c r="H624" s="514">
        <f>ROUND(F624*G624,15)</f>
        <v>3345.2295867155399</v>
      </c>
      <c r="I624" s="520">
        <v>26.81</v>
      </c>
    </row>
    <row r="625" spans="1:9" ht="15.75" thickTop="1" thickBot="1">
      <c r="A625" s="137"/>
      <c r="B625" s="77"/>
      <c r="C625" s="77"/>
      <c r="D625" s="77"/>
      <c r="E625" s="489" t="s">
        <v>478</v>
      </c>
      <c r="F625" s="420"/>
      <c r="G625" s="417">
        <f>H624</f>
        <v>3345.2295867155399</v>
      </c>
      <c r="H625" s="422">
        <f>ROUND(G625,15)</f>
        <v>3345.2295867155399</v>
      </c>
      <c r="I625" s="520"/>
    </row>
    <row r="626" spans="1:9" ht="15.75" thickTop="1" thickBot="1">
      <c r="A626" s="300" t="s">
        <v>479</v>
      </c>
      <c r="B626" s="301"/>
      <c r="C626" s="301" t="s">
        <v>38</v>
      </c>
      <c r="D626" s="302"/>
      <c r="E626" s="303" t="s">
        <v>386</v>
      </c>
      <c r="F626" s="304"/>
      <c r="G626" s="305">
        <f>G628</f>
        <v>115.42499072208</v>
      </c>
      <c r="H626" s="347">
        <f>ROUND(G626,15)</f>
        <v>115.42499072208</v>
      </c>
      <c r="I626" s="520"/>
    </row>
    <row r="627" spans="1:9" ht="15.75" thickTop="1" thickBot="1">
      <c r="A627" s="109">
        <v>98689</v>
      </c>
      <c r="B627" s="110" t="s">
        <v>45</v>
      </c>
      <c r="C627" s="89" t="s">
        <v>46</v>
      </c>
      <c r="D627" s="89" t="s">
        <v>68</v>
      </c>
      <c r="E627" s="108" t="s">
        <v>387</v>
      </c>
      <c r="F627" s="513">
        <f>ROUND(1.6,15)</f>
        <v>1.6</v>
      </c>
      <c r="G627" s="448">
        <f t="shared" ref="G627" si="122">I627*(100%-$I$14)</f>
        <v>72.140619201300083</v>
      </c>
      <c r="H627" s="514">
        <f>ROUND(F627*G627,15)</f>
        <v>115.42499072208</v>
      </c>
      <c r="I627" s="520">
        <v>86.58</v>
      </c>
    </row>
    <row r="628" spans="1:9" ht="15.75" thickTop="1" thickBot="1">
      <c r="A628" s="75"/>
      <c r="B628" s="76"/>
      <c r="C628" s="76"/>
      <c r="D628" s="77"/>
      <c r="E628" s="127" t="s">
        <v>479</v>
      </c>
      <c r="F628" s="128"/>
      <c r="G628" s="122">
        <f>H627</f>
        <v>115.42499072208</v>
      </c>
      <c r="H628" s="129">
        <f>ROUND(G628,15)</f>
        <v>115.42499072208</v>
      </c>
      <c r="I628" s="520"/>
    </row>
    <row r="629" spans="1:9" ht="15.75" thickTop="1" thickBot="1">
      <c r="A629" s="300" t="s">
        <v>480</v>
      </c>
      <c r="B629" s="301"/>
      <c r="C629" s="301" t="s">
        <v>38</v>
      </c>
      <c r="D629" s="302"/>
      <c r="E629" s="303" t="s">
        <v>389</v>
      </c>
      <c r="F629" s="304"/>
      <c r="G629" s="305">
        <f>G631</f>
        <v>3342.78157170961</v>
      </c>
      <c r="H629" s="347">
        <f>ROUND(G629,15)</f>
        <v>3342.78157170961</v>
      </c>
      <c r="I629" s="520"/>
    </row>
    <row r="630" spans="1:9" ht="15.75" thickTop="1" thickBot="1">
      <c r="A630" s="109" t="s">
        <v>390</v>
      </c>
      <c r="B630" s="110" t="s">
        <v>148</v>
      </c>
      <c r="C630" s="89" t="s">
        <v>46</v>
      </c>
      <c r="D630" s="89" t="s">
        <v>68</v>
      </c>
      <c r="E630" s="108" t="s">
        <v>391</v>
      </c>
      <c r="F630" s="513">
        <f>ROUND(36.85,15)</f>
        <v>36.85</v>
      </c>
      <c r="G630" s="448">
        <f t="shared" ref="G630" si="123">I630*(100%-$I$14)</f>
        <v>90.713204116950109</v>
      </c>
      <c r="H630" s="514">
        <f>ROUND(F630*G630,15)</f>
        <v>3342.78157170961</v>
      </c>
      <c r="I630" s="520">
        <v>108.87</v>
      </c>
    </row>
    <row r="631" spans="1:9" ht="15.75" thickTop="1" thickBot="1">
      <c r="A631" s="75"/>
      <c r="B631" s="76"/>
      <c r="C631" s="76"/>
      <c r="D631" s="77"/>
      <c r="E631" s="474" t="s">
        <v>480</v>
      </c>
      <c r="F631" s="475"/>
      <c r="G631" s="417">
        <f>H630</f>
        <v>3342.78157170961</v>
      </c>
      <c r="H631" s="476">
        <f>ROUND(G631,15)</f>
        <v>3342.78157170961</v>
      </c>
      <c r="I631" s="520"/>
    </row>
    <row r="632" spans="1:9" ht="15.75" thickTop="1" thickBot="1">
      <c r="A632" s="300" t="s">
        <v>481</v>
      </c>
      <c r="B632" s="301"/>
      <c r="C632" s="301" t="s">
        <v>38</v>
      </c>
      <c r="D632" s="302"/>
      <c r="E632" s="303" t="s">
        <v>393</v>
      </c>
      <c r="F632" s="304"/>
      <c r="G632" s="305">
        <f>G634</f>
        <v>3586.4086416862501</v>
      </c>
      <c r="H632" s="306">
        <f>ROUND(G632,15)</f>
        <v>3586.4086416862501</v>
      </c>
      <c r="I632" s="520"/>
    </row>
    <row r="633" spans="1:9" ht="26.1" customHeight="1" thickTop="1" thickBot="1">
      <c r="A633" s="98" t="s">
        <v>394</v>
      </c>
      <c r="B633" s="99" t="s">
        <v>57</v>
      </c>
      <c r="C633" s="70" t="s">
        <v>46</v>
      </c>
      <c r="D633" s="70" t="s">
        <v>49</v>
      </c>
      <c r="E633" s="71" t="s">
        <v>395</v>
      </c>
      <c r="F633" s="444">
        <f>ROUND(7.5,15)</f>
        <v>7.5</v>
      </c>
      <c r="G633" s="457">
        <f t="shared" ref="G633" si="124">I633*(100%-$I$14)</f>
        <v>478.18781889150051</v>
      </c>
      <c r="H633" s="445">
        <f>ROUND(F633*G633,15)</f>
        <v>3586.4086416862501</v>
      </c>
      <c r="I633" s="520">
        <v>573.9</v>
      </c>
    </row>
    <row r="634" spans="1:9" ht="15.75" thickTop="1" thickBot="1">
      <c r="A634" s="35"/>
      <c r="B634" s="36"/>
      <c r="C634" s="36"/>
      <c r="D634" s="37"/>
      <c r="E634" s="489" t="s">
        <v>481</v>
      </c>
      <c r="F634" s="420"/>
      <c r="G634" s="417">
        <f>H633</f>
        <v>3586.4086416862501</v>
      </c>
      <c r="H634" s="422">
        <f>ROUND(G634,15)</f>
        <v>3586.4086416862501</v>
      </c>
      <c r="I634" s="520"/>
    </row>
    <row r="635" spans="1:9" ht="15.75" thickTop="1" thickBot="1">
      <c r="A635" s="75"/>
      <c r="B635" s="76"/>
      <c r="C635" s="76"/>
      <c r="D635" s="77"/>
      <c r="E635" s="490" t="s">
        <v>477</v>
      </c>
      <c r="F635" s="491"/>
      <c r="G635" s="492">
        <f>H625+H628+H631+H634</f>
        <v>10389.84479083348</v>
      </c>
      <c r="H635" s="493">
        <f>ROUND(G635,15)</f>
        <v>10389.8447908335</v>
      </c>
      <c r="I635" s="520"/>
    </row>
    <row r="636" spans="1:9" ht="15.75" thickTop="1" thickBot="1">
      <c r="A636" s="307" t="s">
        <v>482</v>
      </c>
      <c r="B636" s="308"/>
      <c r="C636" s="308" t="s">
        <v>38</v>
      </c>
      <c r="D636" s="309"/>
      <c r="E636" s="310" t="s">
        <v>403</v>
      </c>
      <c r="F636" s="311"/>
      <c r="G636" s="312">
        <f>G654</f>
        <v>26150.19856136532</v>
      </c>
      <c r="H636" s="313">
        <f>ROUND(G636,15)</f>
        <v>26150.198561365301</v>
      </c>
      <c r="I636" s="520"/>
    </row>
    <row r="637" spans="1:9" ht="15" thickBot="1">
      <c r="A637" s="293" t="s">
        <v>483</v>
      </c>
      <c r="B637" s="294"/>
      <c r="C637" s="294" t="s">
        <v>38</v>
      </c>
      <c r="D637" s="295"/>
      <c r="E637" s="296" t="s">
        <v>405</v>
      </c>
      <c r="F637" s="297"/>
      <c r="G637" s="298">
        <f>G639</f>
        <v>1836.42120114012</v>
      </c>
      <c r="H637" s="299">
        <f>ROUND(G637,15)</f>
        <v>1836.42120114012</v>
      </c>
      <c r="I637" s="520"/>
    </row>
    <row r="638" spans="1:9" ht="15.75" thickTop="1" thickBot="1">
      <c r="A638" s="109" t="s">
        <v>406</v>
      </c>
      <c r="B638" s="110" t="s">
        <v>407</v>
      </c>
      <c r="C638" s="89" t="s">
        <v>46</v>
      </c>
      <c r="D638" s="89" t="s">
        <v>68</v>
      </c>
      <c r="E638" s="108" t="s">
        <v>408</v>
      </c>
      <c r="F638" s="513">
        <f>ROUND(12.6,15)</f>
        <v>12.6</v>
      </c>
      <c r="G638" s="448">
        <f t="shared" ref="G638" si="125">I638*(100%-$I$14)</f>
        <v>145.74771437620015</v>
      </c>
      <c r="H638" s="514">
        <f>ROUND(F638*G638,15)</f>
        <v>1836.42120114012</v>
      </c>
      <c r="I638" s="520">
        <v>174.92</v>
      </c>
    </row>
    <row r="639" spans="1:9" ht="15.75" thickTop="1" thickBot="1">
      <c r="A639" s="75"/>
      <c r="B639" s="76"/>
      <c r="C639" s="76"/>
      <c r="D639" s="77"/>
      <c r="E639" s="138" t="s">
        <v>483</v>
      </c>
      <c r="F639" s="139"/>
      <c r="G639" s="122">
        <f>H638</f>
        <v>1836.42120114012</v>
      </c>
      <c r="H639" s="140">
        <f>ROUND(G639,15)</f>
        <v>1836.42120114012</v>
      </c>
      <c r="I639" s="520"/>
    </row>
    <row r="640" spans="1:9" ht="15.75" thickTop="1" thickBot="1">
      <c r="A640" s="300" t="s">
        <v>484</v>
      </c>
      <c r="B640" s="301"/>
      <c r="C640" s="301" t="s">
        <v>38</v>
      </c>
      <c r="D640" s="302"/>
      <c r="E640" s="303" t="s">
        <v>413</v>
      </c>
      <c r="F640" s="304"/>
      <c r="G640" s="305">
        <f>G642</f>
        <v>5849.1129944697796</v>
      </c>
      <c r="H640" s="306">
        <f>ROUND(G640,15)</f>
        <v>5849.1129944697796</v>
      </c>
      <c r="I640" s="520"/>
    </row>
    <row r="641" spans="1:9" ht="35.25" thickTop="1" thickBot="1">
      <c r="A641" s="98">
        <v>99839</v>
      </c>
      <c r="B641" s="99" t="s">
        <v>45</v>
      </c>
      <c r="C641" s="70" t="s">
        <v>46</v>
      </c>
      <c r="D641" s="70" t="s">
        <v>68</v>
      </c>
      <c r="E641" s="71" t="s">
        <v>414</v>
      </c>
      <c r="F641" s="444">
        <f>ROUND(16.91,15)</f>
        <v>16.91</v>
      </c>
      <c r="G641" s="457">
        <f t="shared" ref="G641" si="126">I641*(100%-$I$14)</f>
        <v>345.89668802305039</v>
      </c>
      <c r="H641" s="445">
        <f>ROUND(F641*G641,15)</f>
        <v>5849.1129944697796</v>
      </c>
      <c r="I641" s="520">
        <v>415.13</v>
      </c>
    </row>
    <row r="642" spans="1:9" ht="15.75" thickTop="1" thickBot="1">
      <c r="A642" s="75"/>
      <c r="B642" s="76"/>
      <c r="C642" s="76"/>
      <c r="D642" s="77"/>
      <c r="E642" s="474" t="s">
        <v>484</v>
      </c>
      <c r="F642" s="475"/>
      <c r="G642" s="417">
        <f>H641</f>
        <v>5849.1129944697796</v>
      </c>
      <c r="H642" s="476">
        <f>ROUND(G642,15)</f>
        <v>5849.1129944697796</v>
      </c>
      <c r="I642" s="520"/>
    </row>
    <row r="643" spans="1:9" ht="15.75" thickTop="1" thickBot="1">
      <c r="A643" s="300" t="s">
        <v>485</v>
      </c>
      <c r="B643" s="301"/>
      <c r="C643" s="301" t="s">
        <v>38</v>
      </c>
      <c r="D643" s="302"/>
      <c r="E643" s="303" t="s">
        <v>417</v>
      </c>
      <c r="F643" s="304"/>
      <c r="G643" s="305">
        <f>G646</f>
        <v>1045.5964526293176</v>
      </c>
      <c r="H643" s="306">
        <f>ROUND(G643,15)</f>
        <v>1045.5964526293201</v>
      </c>
      <c r="I643" s="520"/>
    </row>
    <row r="644" spans="1:9" ht="15.75" thickTop="1" thickBot="1">
      <c r="A644" s="100" t="s">
        <v>418</v>
      </c>
      <c r="B644" s="101" t="s">
        <v>45</v>
      </c>
      <c r="C644" s="64" t="s">
        <v>46</v>
      </c>
      <c r="D644" s="64" t="s">
        <v>68</v>
      </c>
      <c r="E644" s="65" t="s">
        <v>419</v>
      </c>
      <c r="F644" s="446">
        <f>ROUND(3.8,15)</f>
        <v>3.8</v>
      </c>
      <c r="G644" s="440">
        <f t="shared" ref="G644:G645" si="127">I644*(100%-$I$14)</f>
        <v>262.29922527800034</v>
      </c>
      <c r="H644" s="447">
        <f>ROUND(F644*G644,15)</f>
        <v>996.737056056401</v>
      </c>
      <c r="I644" s="520">
        <v>314.8</v>
      </c>
    </row>
    <row r="645" spans="1:9" ht="15" thickBot="1">
      <c r="A645" s="102" t="s">
        <v>420</v>
      </c>
      <c r="B645" s="103" t="s">
        <v>57</v>
      </c>
      <c r="C645" s="66" t="s">
        <v>46</v>
      </c>
      <c r="D645" s="66" t="s">
        <v>49</v>
      </c>
      <c r="E645" s="67" t="s">
        <v>421</v>
      </c>
      <c r="F645" s="450">
        <f>ROUND(2.13,15)</f>
        <v>2.13</v>
      </c>
      <c r="G645" s="448">
        <f t="shared" si="127"/>
        <v>22.938683837050029</v>
      </c>
      <c r="H645" s="451">
        <f>ROUND(F645*G645,15)</f>
        <v>48.859396572916602</v>
      </c>
      <c r="I645" s="520">
        <v>27.53</v>
      </c>
    </row>
    <row r="646" spans="1:9" ht="15.75" thickTop="1" thickBot="1">
      <c r="A646" s="75"/>
      <c r="B646" s="76"/>
      <c r="C646" s="76"/>
      <c r="D646" s="77"/>
      <c r="E646" s="474" t="s">
        <v>485</v>
      </c>
      <c r="F646" s="475"/>
      <c r="G646" s="417">
        <f>H644+H645</f>
        <v>1045.5964526293176</v>
      </c>
      <c r="H646" s="476">
        <f>ROUND(G646,15)</f>
        <v>1045.5964526293201</v>
      </c>
      <c r="I646" s="520"/>
    </row>
    <row r="647" spans="1:9" ht="15.75" thickTop="1" thickBot="1">
      <c r="A647" s="300" t="s">
        <v>486</v>
      </c>
      <c r="B647" s="301"/>
      <c r="C647" s="301" t="s">
        <v>38</v>
      </c>
      <c r="D647" s="302"/>
      <c r="E647" s="303" t="s">
        <v>423</v>
      </c>
      <c r="F647" s="304"/>
      <c r="G647" s="305">
        <f>G653</f>
        <v>17419.067913126062</v>
      </c>
      <c r="H647" s="306">
        <f>ROUND(G647,15)</f>
        <v>17419.067913126099</v>
      </c>
      <c r="I647" s="520"/>
    </row>
    <row r="648" spans="1:9" ht="26.1" customHeight="1" thickTop="1" thickBot="1">
      <c r="A648" s="90" t="s">
        <v>434</v>
      </c>
      <c r="B648" s="91" t="s">
        <v>57</v>
      </c>
      <c r="C648" s="54" t="s">
        <v>46</v>
      </c>
      <c r="D648" s="54" t="s">
        <v>49</v>
      </c>
      <c r="E648" s="55" t="s">
        <v>1358</v>
      </c>
      <c r="F648" s="436">
        <f>ROUND(5.26,15)</f>
        <v>5.26</v>
      </c>
      <c r="G648" s="437">
        <f t="shared" ref="G648:G652" si="128">I648*(100%-$I$14)</f>
        <v>186.23411639735022</v>
      </c>
      <c r="H648" s="438">
        <f>ROUND(F648*G648,15)</f>
        <v>979.59145225006205</v>
      </c>
      <c r="I648" s="520">
        <v>223.51</v>
      </c>
    </row>
    <row r="649" spans="1:9" ht="15" thickBot="1">
      <c r="A649" s="94">
        <v>95544</v>
      </c>
      <c r="B649" s="95" t="s">
        <v>45</v>
      </c>
      <c r="C649" s="74" t="s">
        <v>46</v>
      </c>
      <c r="D649" s="74" t="s">
        <v>47</v>
      </c>
      <c r="E649" s="78" t="s">
        <v>435</v>
      </c>
      <c r="F649" s="440">
        <f>ROUND(4,15)</f>
        <v>4</v>
      </c>
      <c r="G649" s="440">
        <f t="shared" si="128"/>
        <v>32.97071265645004</v>
      </c>
      <c r="H649" s="441">
        <f>ROUND(F649*G649,15)</f>
        <v>131.88285062579999</v>
      </c>
      <c r="I649" s="520">
        <v>39.57</v>
      </c>
    </row>
    <row r="650" spans="1:9" ht="26.1" customHeight="1" thickBot="1">
      <c r="A650" s="92">
        <v>95547</v>
      </c>
      <c r="B650" s="93" t="s">
        <v>45</v>
      </c>
      <c r="C650" s="58" t="s">
        <v>46</v>
      </c>
      <c r="D650" s="58" t="s">
        <v>47</v>
      </c>
      <c r="E650" s="59" t="s">
        <v>1357</v>
      </c>
      <c r="F650" s="437">
        <f>ROUND(4,15)</f>
        <v>4</v>
      </c>
      <c r="G650" s="437">
        <f t="shared" si="128"/>
        <v>46.410631664500059</v>
      </c>
      <c r="H650" s="439">
        <f>ROUND(F650*G650,15)</f>
        <v>185.64252665800001</v>
      </c>
      <c r="I650" s="520">
        <v>55.7</v>
      </c>
    </row>
    <row r="651" spans="1:9" ht="15" thickBot="1">
      <c r="A651" s="94" t="s">
        <v>436</v>
      </c>
      <c r="B651" s="95" t="s">
        <v>57</v>
      </c>
      <c r="C651" s="74" t="s">
        <v>46</v>
      </c>
      <c r="D651" s="74" t="s">
        <v>47</v>
      </c>
      <c r="E651" s="78" t="s">
        <v>437</v>
      </c>
      <c r="F651" s="440">
        <f>ROUND(4,15)</f>
        <v>4</v>
      </c>
      <c r="G651" s="440">
        <f t="shared" si="128"/>
        <v>47.39383714680006</v>
      </c>
      <c r="H651" s="441">
        <f>ROUND(F651*G651,15)</f>
        <v>189.57534858720001</v>
      </c>
      <c r="I651" s="520">
        <v>56.88</v>
      </c>
    </row>
    <row r="652" spans="1:9" ht="26.1" customHeight="1" thickBot="1">
      <c r="A652" s="96" t="s">
        <v>487</v>
      </c>
      <c r="B652" s="97" t="s">
        <v>57</v>
      </c>
      <c r="C652" s="60" t="s">
        <v>46</v>
      </c>
      <c r="D652" s="60" t="s">
        <v>49</v>
      </c>
      <c r="E652" s="61" t="s">
        <v>488</v>
      </c>
      <c r="F652" s="442">
        <f>ROUND(92.98,15)</f>
        <v>92.98</v>
      </c>
      <c r="G652" s="437">
        <f t="shared" si="128"/>
        <v>171.3527181652502</v>
      </c>
      <c r="H652" s="443">
        <f>ROUND(F652*G652,15)</f>
        <v>15932.375735005</v>
      </c>
      <c r="I652" s="520">
        <v>205.65</v>
      </c>
    </row>
    <row r="653" spans="1:9" ht="15.75" thickTop="1" thickBot="1">
      <c r="A653" s="85"/>
      <c r="B653" s="86"/>
      <c r="C653" s="86"/>
      <c r="D653" s="112"/>
      <c r="E653" s="423" t="s">
        <v>486</v>
      </c>
      <c r="F653" s="424"/>
      <c r="G653" s="425">
        <f>H648+H649+H650+H651+H652</f>
        <v>17419.067913126062</v>
      </c>
      <c r="H653" s="426">
        <f>ROUND(G653,15)</f>
        <v>17419.067913126099</v>
      </c>
      <c r="I653" s="520"/>
    </row>
    <row r="654" spans="1:9" ht="15" thickBot="1">
      <c r="A654" s="75"/>
      <c r="B654" s="76"/>
      <c r="C654" s="76"/>
      <c r="D654" s="113"/>
      <c r="E654" s="477" t="s">
        <v>482</v>
      </c>
      <c r="F654" s="478"/>
      <c r="G654" s="479">
        <f>H639+H642+H646+H653</f>
        <v>26150.19856136532</v>
      </c>
      <c r="H654" s="480">
        <f>ROUND(G654,15)</f>
        <v>26150.198561365301</v>
      </c>
      <c r="I654" s="520"/>
    </row>
    <row r="655" spans="1:9" ht="15" thickBot="1">
      <c r="A655" s="75"/>
      <c r="B655" s="76"/>
      <c r="C655" s="76"/>
      <c r="D655" s="113"/>
      <c r="E655" s="481" t="s">
        <v>443</v>
      </c>
      <c r="F655" s="482"/>
      <c r="G655" s="483">
        <f>H554+H557+H570+H573+H579+H621+H635+H654</f>
        <v>426238.29480969365</v>
      </c>
      <c r="H655" s="484">
        <f>ROUND(G655,15)</f>
        <v>426238.29480969399</v>
      </c>
      <c r="I655" s="520"/>
    </row>
    <row r="656" spans="1:9" ht="15" thickBot="1">
      <c r="A656" s="75"/>
      <c r="B656" s="76"/>
      <c r="C656" s="76"/>
      <c r="D656" s="113"/>
      <c r="E656" s="485" t="s">
        <v>442</v>
      </c>
      <c r="F656" s="486"/>
      <c r="G656" s="487">
        <f>H655</f>
        <v>426238.29480969399</v>
      </c>
      <c r="H656" s="488">
        <f>ROUND(G656,15)</f>
        <v>426238.29480969399</v>
      </c>
      <c r="I656" s="520"/>
    </row>
    <row r="657" spans="1:9" ht="15.75" thickTop="1" thickBot="1">
      <c r="A657" s="237" t="s">
        <v>489</v>
      </c>
      <c r="B657" s="238"/>
      <c r="C657" s="238" t="s">
        <v>38</v>
      </c>
      <c r="D657" s="239"/>
      <c r="E657" s="240" t="s">
        <v>490</v>
      </c>
      <c r="F657" s="241"/>
      <c r="G657" s="242">
        <f>G665</f>
        <v>5256.2121756058777</v>
      </c>
      <c r="H657" s="243">
        <f>ROUND(G657,15)</f>
        <v>5256.2121756058796</v>
      </c>
      <c r="I657" s="520"/>
    </row>
    <row r="658" spans="1:9" ht="15.75" thickTop="1" thickBot="1">
      <c r="A658" s="100" t="s">
        <v>491</v>
      </c>
      <c r="B658" s="101" t="s">
        <v>148</v>
      </c>
      <c r="C658" s="64" t="s">
        <v>46</v>
      </c>
      <c r="D658" s="64" t="s">
        <v>49</v>
      </c>
      <c r="E658" s="65" t="s">
        <v>492</v>
      </c>
      <c r="F658" s="446">
        <f>ROUND(103.23,15)</f>
        <v>103.23</v>
      </c>
      <c r="G658" s="440">
        <f t="shared" ref="G658:G664" si="129">I658*(100%-$I$14)</f>
        <v>10.881918304100013</v>
      </c>
      <c r="H658" s="447">
        <f t="shared" ref="H658:H664" si="130">ROUND(F658*G658,15)</f>
        <v>1123.3404265322399</v>
      </c>
      <c r="I658" s="520">
        <v>13.06</v>
      </c>
    </row>
    <row r="659" spans="1:9" ht="15" thickBot="1">
      <c r="A659" s="94" t="s">
        <v>493</v>
      </c>
      <c r="B659" s="95" t="s">
        <v>57</v>
      </c>
      <c r="C659" s="74" t="s">
        <v>46</v>
      </c>
      <c r="D659" s="74" t="s">
        <v>76</v>
      </c>
      <c r="E659" s="78" t="s">
        <v>494</v>
      </c>
      <c r="F659" s="440">
        <f>ROUND(2.67,15)</f>
        <v>2.67</v>
      </c>
      <c r="G659" s="440">
        <f t="shared" si="129"/>
        <v>322.79135918900033</v>
      </c>
      <c r="H659" s="441">
        <f t="shared" si="130"/>
        <v>861.85292903463096</v>
      </c>
      <c r="I659" s="520">
        <v>387.4</v>
      </c>
    </row>
    <row r="660" spans="1:9" ht="15" thickBot="1">
      <c r="A660" s="94" t="s">
        <v>495</v>
      </c>
      <c r="B660" s="95" t="s">
        <v>496</v>
      </c>
      <c r="C660" s="74" t="s">
        <v>46</v>
      </c>
      <c r="D660" s="74" t="s">
        <v>151</v>
      </c>
      <c r="E660" s="78" t="s">
        <v>497</v>
      </c>
      <c r="F660" s="440">
        <f>ROUND(160,15)</f>
        <v>160</v>
      </c>
      <c r="G660" s="440">
        <f t="shared" si="129"/>
        <v>4.4577536697500051</v>
      </c>
      <c r="H660" s="441">
        <f t="shared" si="130"/>
        <v>713.24058716000104</v>
      </c>
      <c r="I660" s="520">
        <v>5.35</v>
      </c>
    </row>
    <row r="661" spans="1:9" ht="15" thickBot="1">
      <c r="A661" s="94" t="s">
        <v>498</v>
      </c>
      <c r="B661" s="95" t="s">
        <v>499</v>
      </c>
      <c r="C661" s="74" t="s">
        <v>46</v>
      </c>
      <c r="D661" s="74" t="s">
        <v>500</v>
      </c>
      <c r="E661" s="78" t="s">
        <v>501</v>
      </c>
      <c r="F661" s="440">
        <f>ROUND(1.42,15)</f>
        <v>1.42</v>
      </c>
      <c r="G661" s="440">
        <f t="shared" si="129"/>
        <v>35.728687356800044</v>
      </c>
      <c r="H661" s="441">
        <f t="shared" si="130"/>
        <v>50.734736046656103</v>
      </c>
      <c r="I661" s="520">
        <v>42.88</v>
      </c>
    </row>
    <row r="662" spans="1:9" ht="15" thickBot="1">
      <c r="A662" s="94" t="s">
        <v>502</v>
      </c>
      <c r="B662" s="95" t="s">
        <v>57</v>
      </c>
      <c r="C662" s="74" t="s">
        <v>46</v>
      </c>
      <c r="D662" s="74" t="s">
        <v>47</v>
      </c>
      <c r="E662" s="78" t="s">
        <v>503</v>
      </c>
      <c r="F662" s="440">
        <f>ROUND(2,15)</f>
        <v>2</v>
      </c>
      <c r="G662" s="440">
        <f t="shared" si="129"/>
        <v>79.048054326950094</v>
      </c>
      <c r="H662" s="441">
        <f t="shared" si="130"/>
        <v>158.09610865389999</v>
      </c>
      <c r="I662" s="520">
        <v>94.87</v>
      </c>
    </row>
    <row r="663" spans="1:9" ht="15" thickBot="1">
      <c r="A663" s="94">
        <v>98510</v>
      </c>
      <c r="B663" s="95" t="s">
        <v>45</v>
      </c>
      <c r="C663" s="74" t="s">
        <v>46</v>
      </c>
      <c r="D663" s="74" t="s">
        <v>47</v>
      </c>
      <c r="E663" s="78" t="s">
        <v>504</v>
      </c>
      <c r="F663" s="440">
        <f>ROUND(40,15)</f>
        <v>40</v>
      </c>
      <c r="G663" s="440">
        <f t="shared" si="129"/>
        <v>41.969542494450046</v>
      </c>
      <c r="H663" s="441">
        <f t="shared" si="130"/>
        <v>1678.7816997780001</v>
      </c>
      <c r="I663" s="520">
        <v>50.37</v>
      </c>
    </row>
    <row r="664" spans="1:9" ht="15" thickBot="1">
      <c r="A664" s="102" t="s">
        <v>505</v>
      </c>
      <c r="B664" s="103" t="s">
        <v>496</v>
      </c>
      <c r="C664" s="66" t="s">
        <v>46</v>
      </c>
      <c r="D664" s="66" t="s">
        <v>68</v>
      </c>
      <c r="E664" s="67" t="s">
        <v>506</v>
      </c>
      <c r="F664" s="450">
        <f>ROUND(58.58,15)</f>
        <v>58.58</v>
      </c>
      <c r="G664" s="448">
        <f t="shared" si="129"/>
        <v>11.440179044050014</v>
      </c>
      <c r="H664" s="451">
        <f t="shared" si="130"/>
        <v>670.16568840044999</v>
      </c>
      <c r="I664" s="520">
        <v>13.73</v>
      </c>
    </row>
    <row r="665" spans="1:9" ht="15.75" thickTop="1" thickBot="1">
      <c r="A665" s="75"/>
      <c r="B665" s="76"/>
      <c r="C665" s="76"/>
      <c r="D665" s="77"/>
      <c r="E665" s="474" t="s">
        <v>489</v>
      </c>
      <c r="F665" s="475"/>
      <c r="G665" s="417">
        <f>H658+H659+H660+H661+H662+H663+H664</f>
        <v>5256.2121756058777</v>
      </c>
      <c r="H665" s="476">
        <f>ROUND(G665,15)</f>
        <v>5256.2121756058796</v>
      </c>
      <c r="I665" s="520"/>
    </row>
    <row r="666" spans="1:9" ht="15.75" thickTop="1" thickBot="1">
      <c r="A666" s="213" t="s">
        <v>507</v>
      </c>
      <c r="B666" s="214"/>
      <c r="C666" s="214" t="s">
        <v>38</v>
      </c>
      <c r="D666" s="215"/>
      <c r="E666" s="234" t="s">
        <v>508</v>
      </c>
      <c r="F666" s="217"/>
      <c r="G666" s="218">
        <f>G674</f>
        <v>10360.44444723776</v>
      </c>
      <c r="H666" s="219">
        <f>ROUND(G666,15)</f>
        <v>10360.4444472378</v>
      </c>
      <c r="I666" s="520"/>
    </row>
    <row r="667" spans="1:9" ht="15" thickBot="1">
      <c r="A667" s="220" t="s">
        <v>509</v>
      </c>
      <c r="B667" s="221"/>
      <c r="C667" s="221" t="s">
        <v>38</v>
      </c>
      <c r="D667" s="222"/>
      <c r="E667" s="235" t="s">
        <v>510</v>
      </c>
      <c r="F667" s="224"/>
      <c r="G667" s="225">
        <f>G669</f>
        <v>7240.7251196500101</v>
      </c>
      <c r="H667" s="226">
        <f>ROUND(G667,15)</f>
        <v>7240.7251196500101</v>
      </c>
      <c r="I667" s="520"/>
    </row>
    <row r="668" spans="1:9" ht="26.1" customHeight="1" thickTop="1" thickBot="1">
      <c r="A668" s="98" t="s">
        <v>511</v>
      </c>
      <c r="B668" s="99" t="s">
        <v>57</v>
      </c>
      <c r="C668" s="70" t="s">
        <v>46</v>
      </c>
      <c r="D668" s="70" t="s">
        <v>47</v>
      </c>
      <c r="E668" s="71" t="s">
        <v>512</v>
      </c>
      <c r="F668" s="72">
        <f>ROUND(1,15)</f>
        <v>1</v>
      </c>
      <c r="G668" s="457">
        <f t="shared" ref="G668" si="131">I668*(100%-$I$14)</f>
        <v>7240.7251196500083</v>
      </c>
      <c r="H668" s="73">
        <f>ROUND(F668*G668,15)</f>
        <v>7240.7251196500101</v>
      </c>
      <c r="I668" s="520">
        <v>8690</v>
      </c>
    </row>
    <row r="669" spans="1:9" ht="15.75" thickTop="1" thickBot="1">
      <c r="A669" s="75"/>
      <c r="B669" s="76"/>
      <c r="C669" s="76"/>
      <c r="D669" s="77"/>
      <c r="E669" s="474" t="s">
        <v>509</v>
      </c>
      <c r="F669" s="475"/>
      <c r="G669" s="417">
        <f>H668</f>
        <v>7240.7251196500101</v>
      </c>
      <c r="H669" s="476">
        <f>ROUND(G669,15)</f>
        <v>7240.7251196500101</v>
      </c>
      <c r="I669" s="520"/>
    </row>
    <row r="670" spans="1:9" ht="15.75" thickTop="1" thickBot="1">
      <c r="A670" s="227" t="s">
        <v>513</v>
      </c>
      <c r="B670" s="228"/>
      <c r="C670" s="228" t="s">
        <v>38</v>
      </c>
      <c r="D670" s="229"/>
      <c r="E670" s="236" t="s">
        <v>514</v>
      </c>
      <c r="F670" s="231"/>
      <c r="G670" s="232">
        <f>G673</f>
        <v>3119.7193275877498</v>
      </c>
      <c r="H670" s="233">
        <f>ROUND(G670,15)</f>
        <v>3119.7193275877498</v>
      </c>
      <c r="I670" s="520"/>
    </row>
    <row r="671" spans="1:9" ht="48" customHeight="1" thickTop="1" thickBot="1">
      <c r="A671" s="98" t="s">
        <v>515</v>
      </c>
      <c r="B671" s="99" t="s">
        <v>57</v>
      </c>
      <c r="C671" s="70" t="s">
        <v>46</v>
      </c>
      <c r="D671" s="70" t="s">
        <v>47</v>
      </c>
      <c r="E671" s="71" t="s">
        <v>1436</v>
      </c>
      <c r="F671" s="72">
        <f>ROUND(39,15)</f>
        <v>39</v>
      </c>
      <c r="G671" s="444">
        <f t="shared" ref="G671:G672" si="132">I671*(100%-$I$14)</f>
        <v>29.962770460600037</v>
      </c>
      <c r="H671" s="73">
        <f>ROUND(F671*G671,15)</f>
        <v>1168.5480479634</v>
      </c>
      <c r="I671" s="520">
        <v>35.96</v>
      </c>
    </row>
    <row r="672" spans="1:9" ht="48" customHeight="1" thickTop="1" thickBot="1">
      <c r="A672" s="98" t="s">
        <v>516</v>
      </c>
      <c r="B672" s="99" t="s">
        <v>57</v>
      </c>
      <c r="C672" s="70" t="s">
        <v>46</v>
      </c>
      <c r="D672" s="70" t="s">
        <v>47</v>
      </c>
      <c r="E672" s="71" t="s">
        <v>1437</v>
      </c>
      <c r="F672" s="72">
        <f>ROUND(49,15)</f>
        <v>49</v>
      </c>
      <c r="G672" s="444">
        <f t="shared" si="132"/>
        <v>39.819822033150047</v>
      </c>
      <c r="H672" s="73">
        <f>ROUND(F672*G672,15)</f>
        <v>1951.1712796243501</v>
      </c>
      <c r="I672" s="520">
        <v>47.79</v>
      </c>
    </row>
    <row r="673" spans="1:9" ht="15.75" thickTop="1" thickBot="1">
      <c r="A673" s="35"/>
      <c r="B673" s="36"/>
      <c r="C673" s="36"/>
      <c r="D673" s="37"/>
      <c r="E673" s="462" t="s">
        <v>513</v>
      </c>
      <c r="F673" s="463"/>
      <c r="G673" s="464">
        <f>H671+H672</f>
        <v>3119.7193275877498</v>
      </c>
      <c r="H673" s="465">
        <f>ROUND(G673,15)</f>
        <v>3119.7193275877498</v>
      </c>
      <c r="I673" s="520"/>
    </row>
    <row r="674" spans="1:9" ht="15" thickBot="1">
      <c r="A674" s="75"/>
      <c r="B674" s="76"/>
      <c r="C674" s="76"/>
      <c r="D674" s="77"/>
      <c r="E674" s="466" t="s">
        <v>507</v>
      </c>
      <c r="F674" s="467"/>
      <c r="G674" s="468">
        <f>H669+H673</f>
        <v>10360.44444723776</v>
      </c>
      <c r="H674" s="469">
        <f>ROUND(G674,15)</f>
        <v>10360.4444472378</v>
      </c>
      <c r="I674" s="520"/>
    </row>
    <row r="675" spans="1:9" ht="15.75" thickTop="1" thickBot="1">
      <c r="A675" s="237" t="s">
        <v>517</v>
      </c>
      <c r="B675" s="238"/>
      <c r="C675" s="238" t="s">
        <v>38</v>
      </c>
      <c r="D675" s="239"/>
      <c r="E675" s="348" t="s">
        <v>518</v>
      </c>
      <c r="F675" s="241"/>
      <c r="G675" s="242">
        <f>G677</f>
        <v>12398.262793052299</v>
      </c>
      <c r="H675" s="243">
        <f>ROUND(G675,15)</f>
        <v>12398.262793052299</v>
      </c>
      <c r="I675" s="520"/>
    </row>
    <row r="676" spans="1:9" ht="36" customHeight="1" thickTop="1" thickBot="1">
      <c r="A676" s="98" t="s">
        <v>519</v>
      </c>
      <c r="B676" s="99" t="s">
        <v>57</v>
      </c>
      <c r="C676" s="70" t="s">
        <v>46</v>
      </c>
      <c r="D676" s="70" t="s">
        <v>47</v>
      </c>
      <c r="E676" s="71" t="s">
        <v>1359</v>
      </c>
      <c r="F676" s="72">
        <v>69</v>
      </c>
      <c r="G676" s="444">
        <f t="shared" ref="G676" si="133">I676*(100%-$I$14)</f>
        <v>179.68496801525021</v>
      </c>
      <c r="H676" s="73">
        <f>ROUND(F676*G676,15)</f>
        <v>12398.262793052299</v>
      </c>
      <c r="I676" s="520">
        <v>215.65</v>
      </c>
    </row>
    <row r="677" spans="1:9" ht="15.75" thickTop="1" thickBot="1">
      <c r="A677" s="31"/>
      <c r="B677" s="32"/>
      <c r="C677" s="33"/>
      <c r="D677" s="34"/>
      <c r="E677" s="462" t="s">
        <v>517</v>
      </c>
      <c r="F677" s="463"/>
      <c r="G677" s="464">
        <f>H676</f>
        <v>12398.262793052299</v>
      </c>
      <c r="H677" s="465">
        <f t="shared" ref="H677:H682" si="134">ROUND(G677,15)</f>
        <v>12398.262793052299</v>
      </c>
      <c r="I677" s="520"/>
    </row>
    <row r="678" spans="1:9" ht="15" thickBot="1">
      <c r="A678" s="75"/>
      <c r="B678" s="76"/>
      <c r="C678" s="76"/>
      <c r="D678" s="77"/>
      <c r="E678" s="470" t="s">
        <v>273</v>
      </c>
      <c r="F678" s="471"/>
      <c r="G678" s="472">
        <f>H538+H656+H665+H674+H677</f>
        <v>1312208.2534552929</v>
      </c>
      <c r="H678" s="473">
        <f t="shared" si="134"/>
        <v>1312208.2534552901</v>
      </c>
      <c r="I678" s="520"/>
    </row>
    <row r="679" spans="1:9" ht="15.75" thickTop="1" thickBot="1">
      <c r="A679" s="244" t="s">
        <v>520</v>
      </c>
      <c r="B679" s="245"/>
      <c r="C679" s="245" t="s">
        <v>38</v>
      </c>
      <c r="D679" s="246"/>
      <c r="E679" s="349" t="s">
        <v>521</v>
      </c>
      <c r="F679" s="248"/>
      <c r="G679" s="249">
        <f>G1079</f>
        <v>193054.81971782842</v>
      </c>
      <c r="H679" s="250">
        <f t="shared" si="134"/>
        <v>193054.81971782801</v>
      </c>
      <c r="I679" s="520"/>
    </row>
    <row r="680" spans="1:9" ht="15" thickBot="1">
      <c r="A680" s="251" t="s">
        <v>522</v>
      </c>
      <c r="B680" s="252"/>
      <c r="C680" s="252" t="s">
        <v>38</v>
      </c>
      <c r="D680" s="253"/>
      <c r="E680" s="350" t="s">
        <v>143</v>
      </c>
      <c r="F680" s="255"/>
      <c r="G680" s="256">
        <f>G948</f>
        <v>142660.0617954825</v>
      </c>
      <c r="H680" s="257">
        <f t="shared" si="134"/>
        <v>142660.061795482</v>
      </c>
      <c r="I680" s="520"/>
    </row>
    <row r="681" spans="1:9" ht="15" thickBot="1">
      <c r="A681" s="258" t="s">
        <v>523</v>
      </c>
      <c r="B681" s="259"/>
      <c r="C681" s="259" t="s">
        <v>38</v>
      </c>
      <c r="D681" s="260"/>
      <c r="E681" s="351" t="s">
        <v>524</v>
      </c>
      <c r="F681" s="262"/>
      <c r="G681" s="263">
        <f>G785</f>
        <v>36818.12385869259</v>
      </c>
      <c r="H681" s="264">
        <f t="shared" si="134"/>
        <v>36818.123858692503</v>
      </c>
      <c r="I681" s="520"/>
    </row>
    <row r="682" spans="1:9" ht="15" thickBot="1">
      <c r="A682" s="265" t="s">
        <v>525</v>
      </c>
      <c r="B682" s="266"/>
      <c r="C682" s="266" t="s">
        <v>38</v>
      </c>
      <c r="D682" s="267"/>
      <c r="E682" s="352" t="s">
        <v>526</v>
      </c>
      <c r="F682" s="269"/>
      <c r="G682" s="270">
        <f>G685</f>
        <v>141.46627111327601</v>
      </c>
      <c r="H682" s="271">
        <f t="shared" si="134"/>
        <v>141.46627111327601</v>
      </c>
      <c r="I682" s="520"/>
    </row>
    <row r="683" spans="1:9" ht="26.1" customHeight="1" thickTop="1" thickBot="1">
      <c r="A683" s="90">
        <v>89446</v>
      </c>
      <c r="B683" s="91" t="s">
        <v>45</v>
      </c>
      <c r="C683" s="54" t="s">
        <v>46</v>
      </c>
      <c r="D683" s="54" t="s">
        <v>68</v>
      </c>
      <c r="E683" s="55" t="s">
        <v>527</v>
      </c>
      <c r="F683" s="436">
        <f>ROUND(33.72,15)</f>
        <v>33.72</v>
      </c>
      <c r="G683" s="437">
        <f t="shared" ref="G683:G684" si="135">I683*(100%-$I$14)</f>
        <v>3.9828154283000048</v>
      </c>
      <c r="H683" s="438">
        <f>ROUND(F683*G683,15)</f>
        <v>134.300536242276</v>
      </c>
      <c r="I683" s="520">
        <v>4.78</v>
      </c>
    </row>
    <row r="684" spans="1:9" ht="26.1" customHeight="1" thickBot="1">
      <c r="A684" s="96">
        <v>89481</v>
      </c>
      <c r="B684" s="97" t="s">
        <v>45</v>
      </c>
      <c r="C684" s="60" t="s">
        <v>46</v>
      </c>
      <c r="D684" s="60" t="s">
        <v>47</v>
      </c>
      <c r="E684" s="61" t="s">
        <v>1438</v>
      </c>
      <c r="F684" s="442">
        <f>ROUND(2,15)</f>
        <v>2</v>
      </c>
      <c r="G684" s="437">
        <f t="shared" si="135"/>
        <v>3.5828674355000039</v>
      </c>
      <c r="H684" s="443">
        <f>ROUND(F684*G684,15)</f>
        <v>7.1657348710000104</v>
      </c>
      <c r="I684" s="520">
        <v>4.3</v>
      </c>
    </row>
    <row r="685" spans="1:9" ht="15.75" thickTop="1" thickBot="1">
      <c r="A685" s="51"/>
      <c r="B685" s="52"/>
      <c r="C685" s="52"/>
      <c r="D685" s="136"/>
      <c r="E685" s="524" t="s">
        <v>525</v>
      </c>
      <c r="F685" s="387"/>
      <c r="G685" s="388">
        <f>H683+H684</f>
        <v>141.46627111327601</v>
      </c>
      <c r="H685" s="389">
        <f>ROUND(G685,15)</f>
        <v>141.46627111327601</v>
      </c>
      <c r="I685" s="520"/>
    </row>
    <row r="686" spans="1:9" ht="15.75" thickTop="1" thickBot="1">
      <c r="A686" s="272" t="s">
        <v>529</v>
      </c>
      <c r="B686" s="273"/>
      <c r="C686" s="273" t="s">
        <v>38</v>
      </c>
      <c r="D686" s="274"/>
      <c r="E686" s="353" t="s">
        <v>530</v>
      </c>
      <c r="F686" s="276"/>
      <c r="G686" s="277">
        <f>G706</f>
        <v>5245.0451277119146</v>
      </c>
      <c r="H686" s="278">
        <f>ROUND(G686,15)</f>
        <v>5245.04512771191</v>
      </c>
      <c r="I686" s="520"/>
    </row>
    <row r="687" spans="1:9" ht="26.1" customHeight="1" thickTop="1" thickBot="1">
      <c r="A687" s="90">
        <v>102113</v>
      </c>
      <c r="B687" s="91" t="s">
        <v>45</v>
      </c>
      <c r="C687" s="54" t="s">
        <v>46</v>
      </c>
      <c r="D687" s="54" t="s">
        <v>47</v>
      </c>
      <c r="E687" s="55" t="s">
        <v>1512</v>
      </c>
      <c r="F687" s="436">
        <f>ROUND(2,15)</f>
        <v>2</v>
      </c>
      <c r="G687" s="437">
        <f t="shared" ref="G687:G705" si="136">I687*(100%-$I$14)</f>
        <v>1026.6498330179013</v>
      </c>
      <c r="H687" s="439">
        <f t="shared" ref="H687:H705" si="137">ROUND(F687*G687,15)</f>
        <v>2053.2996660357999</v>
      </c>
      <c r="I687" s="520">
        <v>1232.1400000000001</v>
      </c>
    </row>
    <row r="688" spans="1:9" ht="36" customHeight="1" thickBot="1">
      <c r="A688" s="92">
        <v>94496</v>
      </c>
      <c r="B688" s="93" t="s">
        <v>45</v>
      </c>
      <c r="C688" s="58" t="s">
        <v>46</v>
      </c>
      <c r="D688" s="58" t="s">
        <v>47</v>
      </c>
      <c r="E688" s="59" t="s">
        <v>1446</v>
      </c>
      <c r="F688" s="437">
        <f>ROUND(3,15)</f>
        <v>3</v>
      </c>
      <c r="G688" s="437">
        <f t="shared" si="136"/>
        <v>81.156113539000103</v>
      </c>
      <c r="H688" s="439">
        <f t="shared" si="137"/>
        <v>243.468340617</v>
      </c>
      <c r="I688" s="520">
        <v>97.4</v>
      </c>
    </row>
    <row r="689" spans="1:9" ht="36" customHeight="1" thickBot="1">
      <c r="A689" s="92">
        <v>94495</v>
      </c>
      <c r="B689" s="93" t="s">
        <v>45</v>
      </c>
      <c r="C689" s="58" t="s">
        <v>46</v>
      </c>
      <c r="D689" s="58" t="s">
        <v>47</v>
      </c>
      <c r="E689" s="59" t="s">
        <v>1445</v>
      </c>
      <c r="F689" s="437">
        <f>ROUND(5,15)</f>
        <v>5</v>
      </c>
      <c r="G689" s="437">
        <f t="shared" si="136"/>
        <v>66.099738060050072</v>
      </c>
      <c r="H689" s="439">
        <f t="shared" si="137"/>
        <v>330.49869030025002</v>
      </c>
      <c r="I689" s="520">
        <v>79.33</v>
      </c>
    </row>
    <row r="690" spans="1:9" ht="26.1" customHeight="1" thickBot="1">
      <c r="A690" s="92">
        <v>89353</v>
      </c>
      <c r="B690" s="93" t="s">
        <v>45</v>
      </c>
      <c r="C690" s="58" t="s">
        <v>46</v>
      </c>
      <c r="D690" s="58" t="s">
        <v>47</v>
      </c>
      <c r="E690" s="59" t="s">
        <v>533</v>
      </c>
      <c r="F690" s="437">
        <f>ROUND(2,15)</f>
        <v>2</v>
      </c>
      <c r="G690" s="437">
        <f t="shared" si="136"/>
        <v>32.137487671450039</v>
      </c>
      <c r="H690" s="439">
        <f t="shared" si="137"/>
        <v>64.274975342900106</v>
      </c>
      <c r="I690" s="520">
        <v>38.57</v>
      </c>
    </row>
    <row r="691" spans="1:9" ht="26.1" customHeight="1" thickBot="1">
      <c r="A691" s="92">
        <v>99629</v>
      </c>
      <c r="B691" s="93" t="s">
        <v>45</v>
      </c>
      <c r="C691" s="58" t="s">
        <v>46</v>
      </c>
      <c r="D691" s="58" t="s">
        <v>47</v>
      </c>
      <c r="E691" s="59" t="s">
        <v>1439</v>
      </c>
      <c r="F691" s="437">
        <f>ROUND(2,15)</f>
        <v>2</v>
      </c>
      <c r="G691" s="437">
        <f t="shared" si="136"/>
        <v>59.375612431100073</v>
      </c>
      <c r="H691" s="439">
        <f t="shared" si="137"/>
        <v>118.7512248622</v>
      </c>
      <c r="I691" s="520">
        <v>71.260000000000005</v>
      </c>
    </row>
    <row r="692" spans="1:9" ht="26.1" customHeight="1" thickBot="1">
      <c r="A692" s="92">
        <v>89414</v>
      </c>
      <c r="B692" s="93" t="s">
        <v>45</v>
      </c>
      <c r="C692" s="58" t="s">
        <v>46</v>
      </c>
      <c r="D692" s="58" t="s">
        <v>47</v>
      </c>
      <c r="E692" s="59" t="s">
        <v>534</v>
      </c>
      <c r="F692" s="437">
        <f>ROUND(1,15)</f>
        <v>1</v>
      </c>
      <c r="G692" s="437">
        <f t="shared" si="136"/>
        <v>8.6738720938500098</v>
      </c>
      <c r="H692" s="439">
        <f t="shared" si="137"/>
        <v>8.6738720938500098</v>
      </c>
      <c r="I692" s="520">
        <v>10.41</v>
      </c>
    </row>
    <row r="693" spans="1:9" ht="26.1" customHeight="1" thickBot="1">
      <c r="A693" s="92">
        <v>89413</v>
      </c>
      <c r="B693" s="93" t="s">
        <v>45</v>
      </c>
      <c r="C693" s="58" t="s">
        <v>46</v>
      </c>
      <c r="D693" s="58" t="s">
        <v>47</v>
      </c>
      <c r="E693" s="59" t="s">
        <v>535</v>
      </c>
      <c r="F693" s="437">
        <f>ROUND(10,15)</f>
        <v>10</v>
      </c>
      <c r="G693" s="437">
        <f t="shared" si="136"/>
        <v>6.7907836277500087</v>
      </c>
      <c r="H693" s="439">
        <f t="shared" si="137"/>
        <v>67.907836277500095</v>
      </c>
      <c r="I693" s="520">
        <v>8.15</v>
      </c>
    </row>
    <row r="694" spans="1:9" ht="26.1" customHeight="1" thickBot="1">
      <c r="A694" s="92">
        <v>89408</v>
      </c>
      <c r="B694" s="93" t="s">
        <v>45</v>
      </c>
      <c r="C694" s="58" t="s">
        <v>46</v>
      </c>
      <c r="D694" s="58" t="s">
        <v>47</v>
      </c>
      <c r="E694" s="59" t="s">
        <v>536</v>
      </c>
      <c r="F694" s="437">
        <f>ROUND(6,15)</f>
        <v>6</v>
      </c>
      <c r="G694" s="437">
        <f t="shared" si="136"/>
        <v>4.6243986667500057</v>
      </c>
      <c r="H694" s="439">
        <f t="shared" si="137"/>
        <v>27.746392000499998</v>
      </c>
      <c r="I694" s="520">
        <v>5.55</v>
      </c>
    </row>
    <row r="695" spans="1:9" ht="26.1" customHeight="1" thickBot="1">
      <c r="A695" s="92">
        <v>94692</v>
      </c>
      <c r="B695" s="93" t="s">
        <v>45</v>
      </c>
      <c r="C695" s="58" t="s">
        <v>46</v>
      </c>
      <c r="D695" s="58" t="s">
        <v>47</v>
      </c>
      <c r="E695" s="59" t="s">
        <v>1444</v>
      </c>
      <c r="F695" s="437">
        <f>ROUND(2,15)</f>
        <v>2</v>
      </c>
      <c r="G695" s="437">
        <f t="shared" si="136"/>
        <v>19.414142150500023</v>
      </c>
      <c r="H695" s="439">
        <f t="shared" si="137"/>
        <v>38.828284300999997</v>
      </c>
      <c r="I695" s="520">
        <v>23.3</v>
      </c>
    </row>
    <row r="696" spans="1:9" ht="26.1" customHeight="1" thickBot="1">
      <c r="A696" s="92">
        <v>89443</v>
      </c>
      <c r="B696" s="93" t="s">
        <v>45</v>
      </c>
      <c r="C696" s="58" t="s">
        <v>46</v>
      </c>
      <c r="D696" s="58" t="s">
        <v>47</v>
      </c>
      <c r="E696" s="59" t="s">
        <v>1441</v>
      </c>
      <c r="F696" s="437">
        <f>ROUND(2,15)</f>
        <v>2</v>
      </c>
      <c r="G696" s="437">
        <f t="shared" si="136"/>
        <v>10.415312312500012</v>
      </c>
      <c r="H696" s="439">
        <f t="shared" si="137"/>
        <v>20.830624624999999</v>
      </c>
      <c r="I696" s="520">
        <v>12.5</v>
      </c>
    </row>
    <row r="697" spans="1:9" ht="26.1" customHeight="1" thickBot="1">
      <c r="A697" s="92">
        <v>89378</v>
      </c>
      <c r="B697" s="93" t="s">
        <v>45</v>
      </c>
      <c r="C697" s="58" t="s">
        <v>46</v>
      </c>
      <c r="D697" s="58" t="s">
        <v>47</v>
      </c>
      <c r="E697" s="59" t="s">
        <v>1442</v>
      </c>
      <c r="F697" s="437">
        <f>ROUND(4,15)</f>
        <v>4</v>
      </c>
      <c r="G697" s="437">
        <f t="shared" si="136"/>
        <v>5.0326789094000057</v>
      </c>
      <c r="H697" s="439">
        <f t="shared" si="137"/>
        <v>20.130715637600002</v>
      </c>
      <c r="I697" s="520">
        <v>6.04</v>
      </c>
    </row>
    <row r="698" spans="1:9" ht="26.1" customHeight="1" thickBot="1">
      <c r="A698" s="92">
        <v>89386</v>
      </c>
      <c r="B698" s="93" t="s">
        <v>45</v>
      </c>
      <c r="C698" s="58" t="s">
        <v>46</v>
      </c>
      <c r="D698" s="58" t="s">
        <v>47</v>
      </c>
      <c r="E698" s="59" t="s">
        <v>1443</v>
      </c>
      <c r="F698" s="437">
        <f>ROUND(4,15)</f>
        <v>4</v>
      </c>
      <c r="G698" s="437">
        <f t="shared" si="136"/>
        <v>7.0074221238500085</v>
      </c>
      <c r="H698" s="439">
        <f t="shared" si="137"/>
        <v>28.029688495399999</v>
      </c>
      <c r="I698" s="520">
        <v>8.41</v>
      </c>
    </row>
    <row r="699" spans="1:9" ht="26.1" customHeight="1" thickBot="1">
      <c r="A699" s="92">
        <v>89448</v>
      </c>
      <c r="B699" s="93" t="s">
        <v>45</v>
      </c>
      <c r="C699" s="58" t="s">
        <v>46</v>
      </c>
      <c r="D699" s="58" t="s">
        <v>68</v>
      </c>
      <c r="E699" s="59" t="s">
        <v>538</v>
      </c>
      <c r="F699" s="437">
        <f>ROUND(2.28,15)</f>
        <v>2.2799999999999998</v>
      </c>
      <c r="G699" s="437">
        <f t="shared" si="136"/>
        <v>12.098426782200013</v>
      </c>
      <c r="H699" s="439">
        <f t="shared" si="137"/>
        <v>27.584413063416001</v>
      </c>
      <c r="I699" s="520">
        <v>14.52</v>
      </c>
    </row>
    <row r="700" spans="1:9" ht="26.1" customHeight="1" thickBot="1">
      <c r="A700" s="92">
        <v>89447</v>
      </c>
      <c r="B700" s="93" t="s">
        <v>45</v>
      </c>
      <c r="C700" s="58" t="s">
        <v>46</v>
      </c>
      <c r="D700" s="58" t="s">
        <v>68</v>
      </c>
      <c r="E700" s="59" t="s">
        <v>539</v>
      </c>
      <c r="F700" s="437">
        <f>ROUND(48.32,15)</f>
        <v>48.32</v>
      </c>
      <c r="G700" s="437">
        <f t="shared" si="136"/>
        <v>8.4239045983500098</v>
      </c>
      <c r="H700" s="439">
        <f t="shared" si="137"/>
        <v>407.04307019227201</v>
      </c>
      <c r="I700" s="520">
        <v>10.11</v>
      </c>
    </row>
    <row r="701" spans="1:9" ht="26.1" customHeight="1" thickBot="1">
      <c r="A701" s="92">
        <v>89446</v>
      </c>
      <c r="B701" s="93" t="s">
        <v>45</v>
      </c>
      <c r="C701" s="58" t="s">
        <v>46</v>
      </c>
      <c r="D701" s="58" t="s">
        <v>68</v>
      </c>
      <c r="E701" s="59" t="s">
        <v>527</v>
      </c>
      <c r="F701" s="437">
        <f>ROUND(12.31,15)</f>
        <v>12.31</v>
      </c>
      <c r="G701" s="437">
        <f t="shared" si="136"/>
        <v>3.9828154283000048</v>
      </c>
      <c r="H701" s="439">
        <f t="shared" si="137"/>
        <v>49.0284579223731</v>
      </c>
      <c r="I701" s="520">
        <v>4.78</v>
      </c>
    </row>
    <row r="702" spans="1:9" ht="26.1" customHeight="1" thickBot="1">
      <c r="A702" s="92" t="s">
        <v>540</v>
      </c>
      <c r="B702" s="93" t="s">
        <v>57</v>
      </c>
      <c r="C702" s="58" t="s">
        <v>46</v>
      </c>
      <c r="D702" s="58" t="s">
        <v>47</v>
      </c>
      <c r="E702" s="59" t="s">
        <v>1440</v>
      </c>
      <c r="F702" s="437">
        <f>ROUND(1,15)</f>
        <v>1</v>
      </c>
      <c r="G702" s="437">
        <f t="shared" si="136"/>
        <v>426.32789582510054</v>
      </c>
      <c r="H702" s="439">
        <f t="shared" si="137"/>
        <v>426.327895825101</v>
      </c>
      <c r="I702" s="520">
        <v>511.66</v>
      </c>
    </row>
    <row r="703" spans="1:9" ht="15" thickBot="1">
      <c r="A703" s="94" t="s">
        <v>541</v>
      </c>
      <c r="B703" s="95" t="s">
        <v>57</v>
      </c>
      <c r="C703" s="74" t="s">
        <v>46</v>
      </c>
      <c r="D703" s="74" t="s">
        <v>47</v>
      </c>
      <c r="E703" s="78" t="s">
        <v>542</v>
      </c>
      <c r="F703" s="440">
        <f>ROUND(1,15)</f>
        <v>1</v>
      </c>
      <c r="G703" s="440">
        <f t="shared" si="136"/>
        <v>110.08568501820014</v>
      </c>
      <c r="H703" s="439">
        <f t="shared" si="137"/>
        <v>110.0856850182</v>
      </c>
      <c r="I703" s="520">
        <v>132.12</v>
      </c>
    </row>
    <row r="704" spans="1:9" ht="26.1" customHeight="1" thickBot="1">
      <c r="A704" s="92" t="s">
        <v>543</v>
      </c>
      <c r="B704" s="93" t="s">
        <v>57</v>
      </c>
      <c r="C704" s="58" t="s">
        <v>46</v>
      </c>
      <c r="D704" s="58" t="s">
        <v>47</v>
      </c>
      <c r="E704" s="59" t="s">
        <v>1377</v>
      </c>
      <c r="F704" s="437">
        <f>ROUND(1,15)</f>
        <v>1</v>
      </c>
      <c r="G704" s="437">
        <f t="shared" si="136"/>
        <v>711.64079518880089</v>
      </c>
      <c r="H704" s="439">
        <f t="shared" si="137"/>
        <v>711.64079518880101</v>
      </c>
      <c r="I704" s="520">
        <v>854.08</v>
      </c>
    </row>
    <row r="705" spans="1:9" ht="26.1" customHeight="1" thickBot="1">
      <c r="A705" s="96" t="s">
        <v>544</v>
      </c>
      <c r="B705" s="97" t="s">
        <v>57</v>
      </c>
      <c r="C705" s="60" t="s">
        <v>46</v>
      </c>
      <c r="D705" s="60" t="s">
        <v>47</v>
      </c>
      <c r="E705" s="61" t="s">
        <v>1378</v>
      </c>
      <c r="F705" s="442">
        <f>ROUND(1,15)</f>
        <v>1</v>
      </c>
      <c r="G705" s="437">
        <f t="shared" si="136"/>
        <v>490.89449991275058</v>
      </c>
      <c r="H705" s="439">
        <f t="shared" si="137"/>
        <v>490.89449991275097</v>
      </c>
      <c r="I705" s="520">
        <v>589.15</v>
      </c>
    </row>
    <row r="706" spans="1:9" ht="15.75" thickTop="1" thickBot="1">
      <c r="A706" s="51"/>
      <c r="B706" s="52"/>
      <c r="C706" s="52"/>
      <c r="D706" s="136"/>
      <c r="E706" s="524" t="s">
        <v>529</v>
      </c>
      <c r="F706" s="387"/>
      <c r="G706" s="388">
        <f>H687+H688+H689+H690+H691+H692+H693+H694+H695+H696+H697+H698+H699+H700+H701+H702+H703+H704+H705</f>
        <v>5245.0451277119146</v>
      </c>
      <c r="H706" s="389">
        <f>ROUND(G706,15)</f>
        <v>5245.04512771191</v>
      </c>
      <c r="I706" s="520"/>
    </row>
    <row r="707" spans="1:9" ht="15.75" thickTop="1" thickBot="1">
      <c r="A707" s="272" t="s">
        <v>545</v>
      </c>
      <c r="B707" s="273"/>
      <c r="C707" s="273" t="s">
        <v>38</v>
      </c>
      <c r="D707" s="274"/>
      <c r="E707" s="353" t="s">
        <v>546</v>
      </c>
      <c r="F707" s="276"/>
      <c r="G707" s="277">
        <f>G769</f>
        <v>14945.139610162521</v>
      </c>
      <c r="H707" s="278">
        <f>ROUND(G707,15)</f>
        <v>14945.1396101625</v>
      </c>
      <c r="I707" s="520"/>
    </row>
    <row r="708" spans="1:9" ht="26.1" customHeight="1" thickTop="1" thickBot="1">
      <c r="A708" s="90">
        <v>89452</v>
      </c>
      <c r="B708" s="91" t="s">
        <v>45</v>
      </c>
      <c r="C708" s="54" t="s">
        <v>46</v>
      </c>
      <c r="D708" s="54" t="s">
        <v>68</v>
      </c>
      <c r="E708" s="55" t="s">
        <v>547</v>
      </c>
      <c r="F708" s="436">
        <f>ROUND(5.5,15)</f>
        <v>5.5</v>
      </c>
      <c r="G708" s="437">
        <f t="shared" ref="G708:G768" si="138">I708*(100%-$I$14)</f>
        <v>47.302182398450057</v>
      </c>
      <c r="H708" s="439">
        <f t="shared" ref="H708:H768" si="139">ROUND(F708*G708,15)</f>
        <v>260.16200319147498</v>
      </c>
      <c r="I708" s="520">
        <v>56.77</v>
      </c>
    </row>
    <row r="709" spans="1:9" ht="26.1" customHeight="1" thickBot="1">
      <c r="A709" s="92">
        <v>89450</v>
      </c>
      <c r="B709" s="93" t="s">
        <v>45</v>
      </c>
      <c r="C709" s="58" t="s">
        <v>46</v>
      </c>
      <c r="D709" s="58" t="s">
        <v>68</v>
      </c>
      <c r="E709" s="59" t="s">
        <v>548</v>
      </c>
      <c r="F709" s="437">
        <f>ROUND(71.37,15)</f>
        <v>71.37</v>
      </c>
      <c r="G709" s="437">
        <f t="shared" si="138"/>
        <v>22.988677336150026</v>
      </c>
      <c r="H709" s="439">
        <f t="shared" si="139"/>
        <v>1640.7019014810301</v>
      </c>
      <c r="I709" s="520">
        <v>27.59</v>
      </c>
    </row>
    <row r="710" spans="1:9" ht="26.1" customHeight="1" thickBot="1">
      <c r="A710" s="92">
        <v>89449</v>
      </c>
      <c r="B710" s="93" t="s">
        <v>45</v>
      </c>
      <c r="C710" s="58" t="s">
        <v>46</v>
      </c>
      <c r="D710" s="58" t="s">
        <v>68</v>
      </c>
      <c r="E710" s="59" t="s">
        <v>549</v>
      </c>
      <c r="F710" s="437">
        <f>ROUND(37.88,15)</f>
        <v>37.880000000000003</v>
      </c>
      <c r="G710" s="437">
        <f t="shared" si="138"/>
        <v>13.923189499350016</v>
      </c>
      <c r="H710" s="439">
        <f t="shared" si="139"/>
        <v>527.41041823537898</v>
      </c>
      <c r="I710" s="520">
        <v>16.71</v>
      </c>
    </row>
    <row r="711" spans="1:9" ht="26.1" customHeight="1" thickBot="1">
      <c r="A711" s="92">
        <v>89448</v>
      </c>
      <c r="B711" s="93" t="s">
        <v>45</v>
      </c>
      <c r="C711" s="58" t="s">
        <v>46</v>
      </c>
      <c r="D711" s="58" t="s">
        <v>68</v>
      </c>
      <c r="E711" s="59" t="s">
        <v>538</v>
      </c>
      <c r="F711" s="437">
        <f>ROUND(40.59,15)</f>
        <v>40.590000000000003</v>
      </c>
      <c r="G711" s="437">
        <f t="shared" si="138"/>
        <v>12.098426782200013</v>
      </c>
      <c r="H711" s="439">
        <f t="shared" si="139"/>
        <v>491.07514308949902</v>
      </c>
      <c r="I711" s="520">
        <v>14.52</v>
      </c>
    </row>
    <row r="712" spans="1:9" ht="26.1" customHeight="1" thickBot="1">
      <c r="A712" s="92">
        <v>89447</v>
      </c>
      <c r="B712" s="93" t="s">
        <v>45</v>
      </c>
      <c r="C712" s="58" t="s">
        <v>46</v>
      </c>
      <c r="D712" s="58" t="s">
        <v>68</v>
      </c>
      <c r="E712" s="59" t="s">
        <v>539</v>
      </c>
      <c r="F712" s="437">
        <f>ROUND(63.02,15)</f>
        <v>63.02</v>
      </c>
      <c r="G712" s="437">
        <f t="shared" si="138"/>
        <v>8.4239045983500098</v>
      </c>
      <c r="H712" s="439">
        <f t="shared" si="139"/>
        <v>530.87446778801802</v>
      </c>
      <c r="I712" s="520">
        <v>10.11</v>
      </c>
    </row>
    <row r="713" spans="1:9" ht="26.1" customHeight="1" thickBot="1">
      <c r="A713" s="92">
        <v>89402</v>
      </c>
      <c r="B713" s="93" t="s">
        <v>45</v>
      </c>
      <c r="C713" s="58" t="s">
        <v>46</v>
      </c>
      <c r="D713" s="58" t="s">
        <v>68</v>
      </c>
      <c r="E713" s="59" t="s">
        <v>1379</v>
      </c>
      <c r="F713" s="437">
        <f>ROUND(178.51,15)</f>
        <v>178.51</v>
      </c>
      <c r="G713" s="437">
        <f t="shared" si="138"/>
        <v>7.3157153683000082</v>
      </c>
      <c r="H713" s="439">
        <f t="shared" si="139"/>
        <v>1305.9283503952299</v>
      </c>
      <c r="I713" s="520">
        <v>8.7799999999999994</v>
      </c>
    </row>
    <row r="714" spans="1:9" ht="26.1" customHeight="1" thickBot="1">
      <c r="A714" s="92">
        <v>89401</v>
      </c>
      <c r="B714" s="93" t="s">
        <v>45</v>
      </c>
      <c r="C714" s="58" t="s">
        <v>46</v>
      </c>
      <c r="D714" s="58" t="s">
        <v>68</v>
      </c>
      <c r="E714" s="59" t="s">
        <v>1380</v>
      </c>
      <c r="F714" s="437">
        <f>ROUND(40.07,15)</f>
        <v>40.07</v>
      </c>
      <c r="G714" s="437">
        <f t="shared" si="138"/>
        <v>6.0075521418500069</v>
      </c>
      <c r="H714" s="439">
        <f t="shared" si="139"/>
        <v>240.72261432393</v>
      </c>
      <c r="I714" s="520">
        <v>7.21</v>
      </c>
    </row>
    <row r="715" spans="1:9" ht="26.1" customHeight="1" thickBot="1">
      <c r="A715" s="92">
        <v>89521</v>
      </c>
      <c r="B715" s="93" t="s">
        <v>45</v>
      </c>
      <c r="C715" s="58" t="s">
        <v>46</v>
      </c>
      <c r="D715" s="58" t="s">
        <v>47</v>
      </c>
      <c r="E715" s="59" t="s">
        <v>1381</v>
      </c>
      <c r="F715" s="437">
        <f>ROUND(8,15)</f>
        <v>8</v>
      </c>
      <c r="G715" s="437">
        <f t="shared" si="138"/>
        <v>107.46935856530011</v>
      </c>
      <c r="H715" s="439">
        <f t="shared" si="139"/>
        <v>859.75486852240101</v>
      </c>
      <c r="I715" s="520">
        <v>128.97999999999999</v>
      </c>
    </row>
    <row r="716" spans="1:9" ht="26.1" customHeight="1" thickBot="1">
      <c r="A716" s="92">
        <v>89505</v>
      </c>
      <c r="B716" s="93" t="s">
        <v>45</v>
      </c>
      <c r="C716" s="58" t="s">
        <v>46</v>
      </c>
      <c r="D716" s="58" t="s">
        <v>47</v>
      </c>
      <c r="E716" s="59" t="s">
        <v>1382</v>
      </c>
      <c r="F716" s="437">
        <f>ROUND(9,15)</f>
        <v>9</v>
      </c>
      <c r="G716" s="437">
        <f t="shared" si="138"/>
        <v>29.004561727850035</v>
      </c>
      <c r="H716" s="439">
        <f t="shared" si="139"/>
        <v>261.04105555065001</v>
      </c>
      <c r="I716" s="520">
        <v>34.81</v>
      </c>
    </row>
    <row r="717" spans="1:9" ht="26.1" customHeight="1" thickBot="1">
      <c r="A717" s="92">
        <v>89501</v>
      </c>
      <c r="B717" s="93" t="s">
        <v>45</v>
      </c>
      <c r="C717" s="58" t="s">
        <v>46</v>
      </c>
      <c r="D717" s="58" t="s">
        <v>47</v>
      </c>
      <c r="E717" s="59" t="s">
        <v>1383</v>
      </c>
      <c r="F717" s="437">
        <f>ROUND(17,15)</f>
        <v>17</v>
      </c>
      <c r="G717" s="437">
        <f t="shared" si="138"/>
        <v>11.040231051250013</v>
      </c>
      <c r="H717" s="439">
        <f t="shared" si="139"/>
        <v>187.68392787125001</v>
      </c>
      <c r="I717" s="520">
        <v>13.25</v>
      </c>
    </row>
    <row r="718" spans="1:9" ht="26.1" customHeight="1" thickBot="1">
      <c r="A718" s="92">
        <v>89497</v>
      </c>
      <c r="B718" s="93" t="s">
        <v>45</v>
      </c>
      <c r="C718" s="58" t="s">
        <v>46</v>
      </c>
      <c r="D718" s="58" t="s">
        <v>47</v>
      </c>
      <c r="E718" s="59" t="s">
        <v>1384</v>
      </c>
      <c r="F718" s="437">
        <f>ROUND(4,15)</f>
        <v>4</v>
      </c>
      <c r="G718" s="437">
        <f t="shared" si="138"/>
        <v>9.1571425851500106</v>
      </c>
      <c r="H718" s="439">
        <f t="shared" si="139"/>
        <v>36.6285703406</v>
      </c>
      <c r="I718" s="520">
        <v>10.99</v>
      </c>
    </row>
    <row r="719" spans="1:9" ht="26.1" customHeight="1" thickBot="1">
      <c r="A719" s="92">
        <v>89492</v>
      </c>
      <c r="B719" s="93" t="s">
        <v>45</v>
      </c>
      <c r="C719" s="58" t="s">
        <v>46</v>
      </c>
      <c r="D719" s="58" t="s">
        <v>47</v>
      </c>
      <c r="E719" s="59" t="s">
        <v>1385</v>
      </c>
      <c r="F719" s="437">
        <f>ROUND(12,15)</f>
        <v>12</v>
      </c>
      <c r="G719" s="437">
        <f t="shared" si="138"/>
        <v>7.282386368900009</v>
      </c>
      <c r="H719" s="439">
        <f t="shared" si="139"/>
        <v>87.388636426800105</v>
      </c>
      <c r="I719" s="520">
        <v>8.74</v>
      </c>
    </row>
    <row r="720" spans="1:9" ht="26.1" customHeight="1" thickBot="1">
      <c r="A720" s="92">
        <v>89362</v>
      </c>
      <c r="B720" s="93" t="s">
        <v>45</v>
      </c>
      <c r="C720" s="58" t="s">
        <v>46</v>
      </c>
      <c r="D720" s="58" t="s">
        <v>47</v>
      </c>
      <c r="E720" s="59" t="s">
        <v>551</v>
      </c>
      <c r="F720" s="437">
        <f>ROUND(79,15)</f>
        <v>79</v>
      </c>
      <c r="G720" s="437">
        <f t="shared" si="138"/>
        <v>6.6824643797000078</v>
      </c>
      <c r="H720" s="439">
        <f t="shared" si="139"/>
        <v>527.91468599630105</v>
      </c>
      <c r="I720" s="520">
        <v>8.02</v>
      </c>
    </row>
    <row r="721" spans="1:9" ht="26.1" customHeight="1" thickBot="1">
      <c r="A721" s="92">
        <v>89358</v>
      </c>
      <c r="B721" s="93" t="s">
        <v>45</v>
      </c>
      <c r="C721" s="58" t="s">
        <v>46</v>
      </c>
      <c r="D721" s="58" t="s">
        <v>47</v>
      </c>
      <c r="E721" s="59" t="s">
        <v>552</v>
      </c>
      <c r="F721" s="437">
        <f>ROUND(6,15)</f>
        <v>6</v>
      </c>
      <c r="G721" s="437">
        <f t="shared" si="138"/>
        <v>5.6159363989000068</v>
      </c>
      <c r="H721" s="439">
        <f t="shared" si="139"/>
        <v>33.695618393399997</v>
      </c>
      <c r="I721" s="520">
        <v>6.74</v>
      </c>
    </row>
    <row r="722" spans="1:9" ht="26.1" customHeight="1" thickBot="1">
      <c r="A722" s="92">
        <v>89506</v>
      </c>
      <c r="B722" s="93" t="s">
        <v>45</v>
      </c>
      <c r="C722" s="58" t="s">
        <v>46</v>
      </c>
      <c r="D722" s="58" t="s">
        <v>47</v>
      </c>
      <c r="E722" s="59" t="s">
        <v>1386</v>
      </c>
      <c r="F722" s="437">
        <f>ROUND(4,15)</f>
        <v>4</v>
      </c>
      <c r="G722" s="437">
        <f t="shared" si="138"/>
        <v>32.712412911100039</v>
      </c>
      <c r="H722" s="439">
        <f t="shared" si="139"/>
        <v>130.84965164440001</v>
      </c>
      <c r="I722" s="520">
        <v>39.26</v>
      </c>
    </row>
    <row r="723" spans="1:9" ht="26.1" customHeight="1" thickBot="1">
      <c r="A723" s="92">
        <v>89502</v>
      </c>
      <c r="B723" s="93" t="s">
        <v>45</v>
      </c>
      <c r="C723" s="58" t="s">
        <v>46</v>
      </c>
      <c r="D723" s="58" t="s">
        <v>47</v>
      </c>
      <c r="E723" s="59" t="s">
        <v>1387</v>
      </c>
      <c r="F723" s="437">
        <f>ROUND(1,15)</f>
        <v>1</v>
      </c>
      <c r="G723" s="437">
        <f t="shared" si="138"/>
        <v>12.590029523350013</v>
      </c>
      <c r="H723" s="439">
        <f t="shared" si="139"/>
        <v>12.590029523349999</v>
      </c>
      <c r="I723" s="520">
        <v>15.11</v>
      </c>
    </row>
    <row r="724" spans="1:9" ht="26.1" customHeight="1" thickBot="1">
      <c r="A724" s="92">
        <v>89498</v>
      </c>
      <c r="B724" s="93" t="s">
        <v>45</v>
      </c>
      <c r="C724" s="58" t="s">
        <v>46</v>
      </c>
      <c r="D724" s="58" t="s">
        <v>47</v>
      </c>
      <c r="E724" s="59" t="s">
        <v>1388</v>
      </c>
      <c r="F724" s="437">
        <f>ROUND(6,15)</f>
        <v>6</v>
      </c>
      <c r="G724" s="437">
        <f t="shared" si="138"/>
        <v>10.015364319700012</v>
      </c>
      <c r="H724" s="439">
        <f t="shared" si="139"/>
        <v>60.092185918200101</v>
      </c>
      <c r="I724" s="520">
        <v>12.02</v>
      </c>
    </row>
    <row r="725" spans="1:9" ht="26.1" customHeight="1" thickBot="1">
      <c r="A725" s="92">
        <v>89493</v>
      </c>
      <c r="B725" s="93" t="s">
        <v>45</v>
      </c>
      <c r="C725" s="58" t="s">
        <v>46</v>
      </c>
      <c r="D725" s="58" t="s">
        <v>47</v>
      </c>
      <c r="E725" s="59" t="s">
        <v>1389</v>
      </c>
      <c r="F725" s="437">
        <f>ROUND(2,15)</f>
        <v>2</v>
      </c>
      <c r="G725" s="437">
        <f t="shared" si="138"/>
        <v>7.4990248650000089</v>
      </c>
      <c r="H725" s="439">
        <f t="shared" si="139"/>
        <v>14.99804973</v>
      </c>
      <c r="I725" s="520">
        <v>9</v>
      </c>
    </row>
    <row r="726" spans="1:9" ht="26.1" customHeight="1" thickBot="1">
      <c r="A726" s="92">
        <v>89409</v>
      </c>
      <c r="B726" s="93" t="s">
        <v>45</v>
      </c>
      <c r="C726" s="58" t="s">
        <v>46</v>
      </c>
      <c r="D726" s="58" t="s">
        <v>47</v>
      </c>
      <c r="E726" s="59" t="s">
        <v>553</v>
      </c>
      <c r="F726" s="437">
        <f>ROUND(4,15)</f>
        <v>4</v>
      </c>
      <c r="G726" s="437">
        <f t="shared" si="138"/>
        <v>5.2909786547500062</v>
      </c>
      <c r="H726" s="439">
        <f t="shared" si="139"/>
        <v>21.163914619</v>
      </c>
      <c r="I726" s="520">
        <v>6.35</v>
      </c>
    </row>
    <row r="727" spans="1:9" ht="26.1" customHeight="1" thickBot="1">
      <c r="A727" s="92">
        <v>89405</v>
      </c>
      <c r="B727" s="93" t="s">
        <v>45</v>
      </c>
      <c r="C727" s="58" t="s">
        <v>46</v>
      </c>
      <c r="D727" s="58" t="s">
        <v>47</v>
      </c>
      <c r="E727" s="59" t="s">
        <v>554</v>
      </c>
      <c r="F727" s="437">
        <f>ROUND(2,15)</f>
        <v>2</v>
      </c>
      <c r="G727" s="437">
        <f t="shared" si="138"/>
        <v>4.1327959256000044</v>
      </c>
      <c r="H727" s="439">
        <f t="shared" si="139"/>
        <v>8.2655918512000106</v>
      </c>
      <c r="I727" s="520">
        <v>4.96</v>
      </c>
    </row>
    <row r="728" spans="1:9" ht="26.1" customHeight="1" thickBot="1">
      <c r="A728" s="92">
        <v>89510</v>
      </c>
      <c r="B728" s="93" t="s">
        <v>45</v>
      </c>
      <c r="C728" s="58" t="s">
        <v>46</v>
      </c>
      <c r="D728" s="58" t="s">
        <v>47</v>
      </c>
      <c r="E728" s="59" t="s">
        <v>1390</v>
      </c>
      <c r="F728" s="437">
        <f>ROUND(1,15)</f>
        <v>1</v>
      </c>
      <c r="G728" s="437">
        <f t="shared" si="138"/>
        <v>26.271583777050033</v>
      </c>
      <c r="H728" s="439">
        <f t="shared" si="139"/>
        <v>26.271583777050001</v>
      </c>
      <c r="I728" s="520">
        <v>31.53</v>
      </c>
    </row>
    <row r="729" spans="1:9" ht="26.1" customHeight="1" thickBot="1">
      <c r="A729" s="96">
        <v>89507</v>
      </c>
      <c r="B729" s="97" t="s">
        <v>45</v>
      </c>
      <c r="C729" s="60" t="s">
        <v>46</v>
      </c>
      <c r="D729" s="60" t="s">
        <v>47</v>
      </c>
      <c r="E729" s="61" t="s">
        <v>1391</v>
      </c>
      <c r="F729" s="442">
        <f>ROUND(1,15)</f>
        <v>1</v>
      </c>
      <c r="G729" s="442">
        <f t="shared" si="138"/>
        <v>40.444740771900044</v>
      </c>
      <c r="H729" s="443">
        <f t="shared" si="139"/>
        <v>40.444740771900001</v>
      </c>
      <c r="I729" s="520">
        <v>48.54</v>
      </c>
    </row>
    <row r="730" spans="1:9" ht="26.1" customHeight="1" thickTop="1" thickBot="1">
      <c r="A730" s="90">
        <v>89631</v>
      </c>
      <c r="B730" s="91" t="s">
        <v>45</v>
      </c>
      <c r="C730" s="54" t="s">
        <v>46</v>
      </c>
      <c r="D730" s="54" t="s">
        <v>47</v>
      </c>
      <c r="E730" s="55" t="s">
        <v>1392</v>
      </c>
      <c r="F730" s="436">
        <f>ROUND(2,15)</f>
        <v>2</v>
      </c>
      <c r="G730" s="436">
        <f t="shared" si="138"/>
        <v>104.24477787335012</v>
      </c>
      <c r="H730" s="438">
        <f t="shared" si="139"/>
        <v>208.48955574670001</v>
      </c>
      <c r="I730" s="520">
        <v>125.11</v>
      </c>
    </row>
    <row r="731" spans="1:9" ht="26.1" customHeight="1" thickBot="1">
      <c r="A731" s="92">
        <v>89628</v>
      </c>
      <c r="B731" s="93" t="s">
        <v>45</v>
      </c>
      <c r="C731" s="58" t="s">
        <v>46</v>
      </c>
      <c r="D731" s="58" t="s">
        <v>47</v>
      </c>
      <c r="E731" s="59" t="s">
        <v>1393</v>
      </c>
      <c r="F731" s="437">
        <f>ROUND(12,15)</f>
        <v>12</v>
      </c>
      <c r="G731" s="437">
        <f t="shared" si="138"/>
        <v>37.078511832500041</v>
      </c>
      <c r="H731" s="439">
        <f t="shared" si="139"/>
        <v>444.94214198999998</v>
      </c>
      <c r="I731" s="520">
        <v>44.5</v>
      </c>
    </row>
    <row r="732" spans="1:9" ht="26.1" customHeight="1" thickBot="1">
      <c r="A732" s="92">
        <v>89625</v>
      </c>
      <c r="B732" s="93" t="s">
        <v>45</v>
      </c>
      <c r="C732" s="58" t="s">
        <v>46</v>
      </c>
      <c r="D732" s="58" t="s">
        <v>47</v>
      </c>
      <c r="E732" s="59" t="s">
        <v>1394</v>
      </c>
      <c r="F732" s="437">
        <f>ROUND(2,15)</f>
        <v>2</v>
      </c>
      <c r="G732" s="437">
        <f t="shared" si="138"/>
        <v>17.364408687400019</v>
      </c>
      <c r="H732" s="439">
        <f t="shared" si="139"/>
        <v>34.728817374800002</v>
      </c>
      <c r="I732" s="520">
        <v>20.84</v>
      </c>
    </row>
    <row r="733" spans="1:9" ht="26.1" customHeight="1" thickBot="1">
      <c r="A733" s="92">
        <v>89623</v>
      </c>
      <c r="B733" s="93" t="s">
        <v>45</v>
      </c>
      <c r="C733" s="58" t="s">
        <v>46</v>
      </c>
      <c r="D733" s="58" t="s">
        <v>47</v>
      </c>
      <c r="E733" s="59" t="s">
        <v>1395</v>
      </c>
      <c r="F733" s="437">
        <f>ROUND(7,15)</f>
        <v>7</v>
      </c>
      <c r="G733" s="437">
        <f t="shared" si="138"/>
        <v>14.364798741400016</v>
      </c>
      <c r="H733" s="439">
        <f t="shared" si="139"/>
        <v>100.5535911898</v>
      </c>
      <c r="I733" s="520">
        <v>17.239999999999998</v>
      </c>
    </row>
    <row r="734" spans="1:9" ht="26.1" customHeight="1" thickBot="1">
      <c r="A734" s="92">
        <v>89443</v>
      </c>
      <c r="B734" s="93" t="s">
        <v>45</v>
      </c>
      <c r="C734" s="58" t="s">
        <v>46</v>
      </c>
      <c r="D734" s="58" t="s">
        <v>47</v>
      </c>
      <c r="E734" s="59" t="s">
        <v>1396</v>
      </c>
      <c r="F734" s="437">
        <f>ROUND(3,15)</f>
        <v>3</v>
      </c>
      <c r="G734" s="437">
        <f t="shared" si="138"/>
        <v>10.415312312500012</v>
      </c>
      <c r="H734" s="439">
        <f t="shared" si="139"/>
        <v>31.245936937500002</v>
      </c>
      <c r="I734" s="520">
        <v>12.5</v>
      </c>
    </row>
    <row r="735" spans="1:9" ht="26.1" customHeight="1" thickBot="1">
      <c r="A735" s="92">
        <v>89395</v>
      </c>
      <c r="B735" s="93" t="s">
        <v>45</v>
      </c>
      <c r="C735" s="58" t="s">
        <v>46</v>
      </c>
      <c r="D735" s="58" t="s">
        <v>47</v>
      </c>
      <c r="E735" s="59" t="s">
        <v>1397</v>
      </c>
      <c r="F735" s="437">
        <f>ROUND(30,15)</f>
        <v>30</v>
      </c>
      <c r="G735" s="437">
        <f t="shared" si="138"/>
        <v>9.3571165815500112</v>
      </c>
      <c r="H735" s="439">
        <f t="shared" si="139"/>
        <v>280.71349744650001</v>
      </c>
      <c r="I735" s="520">
        <v>11.23</v>
      </c>
    </row>
    <row r="736" spans="1:9" ht="26.1" customHeight="1" thickBot="1">
      <c r="A736" s="92">
        <v>89632</v>
      </c>
      <c r="B736" s="93" t="s">
        <v>45</v>
      </c>
      <c r="C736" s="58" t="s">
        <v>46</v>
      </c>
      <c r="D736" s="58" t="s">
        <v>47</v>
      </c>
      <c r="E736" s="59" t="s">
        <v>555</v>
      </c>
      <c r="F736" s="437">
        <f>ROUND(2,15)</f>
        <v>2</v>
      </c>
      <c r="G736" s="437">
        <f t="shared" si="138"/>
        <v>85.472218961300101</v>
      </c>
      <c r="H736" s="439">
        <f t="shared" si="139"/>
        <v>170.9444379226</v>
      </c>
      <c r="I736" s="520">
        <v>102.58</v>
      </c>
    </row>
    <row r="737" spans="1:9" ht="26.1" customHeight="1" thickBot="1">
      <c r="A737" s="92">
        <v>89626</v>
      </c>
      <c r="B737" s="93" t="s">
        <v>45</v>
      </c>
      <c r="C737" s="58" t="s">
        <v>46</v>
      </c>
      <c r="D737" s="58" t="s">
        <v>47</v>
      </c>
      <c r="E737" s="59" t="s">
        <v>556</v>
      </c>
      <c r="F737" s="437">
        <f>ROUND(2,15)</f>
        <v>2</v>
      </c>
      <c r="G737" s="437">
        <f t="shared" si="138"/>
        <v>24.180189064700027</v>
      </c>
      <c r="H737" s="439">
        <f t="shared" si="139"/>
        <v>48.360378129400097</v>
      </c>
      <c r="I737" s="520">
        <v>29.02</v>
      </c>
    </row>
    <row r="738" spans="1:9" ht="26.1" customHeight="1" thickBot="1">
      <c r="A738" s="92">
        <v>89627</v>
      </c>
      <c r="B738" s="93" t="s">
        <v>45</v>
      </c>
      <c r="C738" s="58" t="s">
        <v>46</v>
      </c>
      <c r="D738" s="58" t="s">
        <v>47</v>
      </c>
      <c r="E738" s="59" t="s">
        <v>557</v>
      </c>
      <c r="F738" s="437">
        <f>ROUND(2,15)</f>
        <v>2</v>
      </c>
      <c r="G738" s="437">
        <f t="shared" si="138"/>
        <v>16.33954195585002</v>
      </c>
      <c r="H738" s="439">
        <f t="shared" si="139"/>
        <v>32.679083911699998</v>
      </c>
      <c r="I738" s="520">
        <v>19.61</v>
      </c>
    </row>
    <row r="739" spans="1:9" ht="36" customHeight="1" thickBot="1">
      <c r="A739" s="92">
        <v>94693</v>
      </c>
      <c r="B739" s="93" t="s">
        <v>45</v>
      </c>
      <c r="C739" s="58" t="s">
        <v>46</v>
      </c>
      <c r="D739" s="58" t="s">
        <v>47</v>
      </c>
      <c r="E739" s="59" t="s">
        <v>558</v>
      </c>
      <c r="F739" s="437">
        <f>ROUND(1,15)</f>
        <v>1</v>
      </c>
      <c r="G739" s="437">
        <f t="shared" si="138"/>
        <v>20.297360634600022</v>
      </c>
      <c r="H739" s="439">
        <f t="shared" si="139"/>
        <v>20.2973606346</v>
      </c>
      <c r="I739" s="520">
        <v>24.36</v>
      </c>
    </row>
    <row r="740" spans="1:9" ht="26.1" customHeight="1" thickBot="1">
      <c r="A740" s="92">
        <v>89445</v>
      </c>
      <c r="B740" s="93" t="s">
        <v>45</v>
      </c>
      <c r="C740" s="58" t="s">
        <v>46</v>
      </c>
      <c r="D740" s="58" t="s">
        <v>47</v>
      </c>
      <c r="E740" s="59" t="s">
        <v>559</v>
      </c>
      <c r="F740" s="437">
        <f>ROUND(9,15)</f>
        <v>9</v>
      </c>
      <c r="G740" s="437">
        <f t="shared" si="138"/>
        <v>12.165084781000013</v>
      </c>
      <c r="H740" s="439">
        <f t="shared" si="139"/>
        <v>109.485763029</v>
      </c>
      <c r="I740" s="520">
        <v>14.6</v>
      </c>
    </row>
    <row r="741" spans="1:9" ht="15" thickBot="1">
      <c r="A741" s="94" t="s">
        <v>560</v>
      </c>
      <c r="B741" s="95" t="s">
        <v>148</v>
      </c>
      <c r="C741" s="74" t="s">
        <v>46</v>
      </c>
      <c r="D741" s="74" t="s">
        <v>47</v>
      </c>
      <c r="E741" s="78" t="s">
        <v>561</v>
      </c>
      <c r="F741" s="440">
        <f>ROUND(2,15)</f>
        <v>2</v>
      </c>
      <c r="G741" s="440">
        <f t="shared" si="138"/>
        <v>23.680254073700031</v>
      </c>
      <c r="H741" s="439">
        <f t="shared" si="139"/>
        <v>47.360508147400097</v>
      </c>
      <c r="I741" s="520">
        <v>28.42</v>
      </c>
    </row>
    <row r="742" spans="1:9" ht="15" thickBot="1">
      <c r="A742" s="94" t="s">
        <v>562</v>
      </c>
      <c r="B742" s="95" t="s">
        <v>148</v>
      </c>
      <c r="C742" s="74" t="s">
        <v>46</v>
      </c>
      <c r="D742" s="74" t="s">
        <v>47</v>
      </c>
      <c r="E742" s="78" t="s">
        <v>563</v>
      </c>
      <c r="F742" s="440">
        <f>ROUND(13,15)</f>
        <v>13</v>
      </c>
      <c r="G742" s="440">
        <f t="shared" si="138"/>
        <v>18.780891161900023</v>
      </c>
      <c r="H742" s="439">
        <f t="shared" si="139"/>
        <v>244.15158510469999</v>
      </c>
      <c r="I742" s="520">
        <v>22.54</v>
      </c>
    </row>
    <row r="743" spans="1:9" ht="15" thickBot="1">
      <c r="A743" s="94" t="s">
        <v>564</v>
      </c>
      <c r="B743" s="95" t="s">
        <v>148</v>
      </c>
      <c r="C743" s="74" t="s">
        <v>46</v>
      </c>
      <c r="D743" s="74" t="s">
        <v>47</v>
      </c>
      <c r="E743" s="78" t="s">
        <v>565</v>
      </c>
      <c r="F743" s="440">
        <f>ROUND(2,15)</f>
        <v>2</v>
      </c>
      <c r="G743" s="440">
        <f t="shared" si="138"/>
        <v>12.815000269300016</v>
      </c>
      <c r="H743" s="439">
        <f t="shared" si="139"/>
        <v>25.630000538600001</v>
      </c>
      <c r="I743" s="520">
        <v>15.38</v>
      </c>
    </row>
    <row r="744" spans="1:9" ht="15" thickBot="1">
      <c r="A744" s="94" t="s">
        <v>566</v>
      </c>
      <c r="B744" s="95" t="s">
        <v>148</v>
      </c>
      <c r="C744" s="74" t="s">
        <v>46</v>
      </c>
      <c r="D744" s="74" t="s">
        <v>47</v>
      </c>
      <c r="E744" s="78" t="s">
        <v>567</v>
      </c>
      <c r="F744" s="440">
        <f>ROUND(1,15)</f>
        <v>1</v>
      </c>
      <c r="G744" s="440">
        <f t="shared" si="138"/>
        <v>8.5738850956500094</v>
      </c>
      <c r="H744" s="439">
        <f t="shared" si="139"/>
        <v>8.5738850956500094</v>
      </c>
      <c r="I744" s="520">
        <v>10.29</v>
      </c>
    </row>
    <row r="745" spans="1:9" ht="26.1" customHeight="1" thickBot="1">
      <c r="A745" s="92">
        <v>90375</v>
      </c>
      <c r="B745" s="93" t="s">
        <v>45</v>
      </c>
      <c r="C745" s="58" t="s">
        <v>46</v>
      </c>
      <c r="D745" s="58" t="s">
        <v>47</v>
      </c>
      <c r="E745" s="59" t="s">
        <v>568</v>
      </c>
      <c r="F745" s="437">
        <f>ROUND(2,15)</f>
        <v>2</v>
      </c>
      <c r="G745" s="437">
        <f t="shared" si="138"/>
        <v>7.0324188734000082</v>
      </c>
      <c r="H745" s="439">
        <f t="shared" si="139"/>
        <v>14.0648377468</v>
      </c>
      <c r="I745" s="520">
        <v>8.44</v>
      </c>
    </row>
    <row r="746" spans="1:9" ht="15" thickBot="1">
      <c r="A746" s="94" t="s">
        <v>569</v>
      </c>
      <c r="B746" s="95" t="s">
        <v>148</v>
      </c>
      <c r="C746" s="74" t="s">
        <v>46</v>
      </c>
      <c r="D746" s="74" t="s">
        <v>47</v>
      </c>
      <c r="E746" s="78" t="s">
        <v>570</v>
      </c>
      <c r="F746" s="440">
        <f>ROUND(3,15)</f>
        <v>3</v>
      </c>
      <c r="G746" s="440">
        <f t="shared" si="138"/>
        <v>6.9490963749000079</v>
      </c>
      <c r="H746" s="439">
        <f t="shared" si="139"/>
        <v>20.847289124700001</v>
      </c>
      <c r="I746" s="520">
        <v>8.34</v>
      </c>
    </row>
    <row r="747" spans="1:9" ht="15" thickBot="1">
      <c r="A747" s="94" t="s">
        <v>571</v>
      </c>
      <c r="B747" s="95" t="s">
        <v>148</v>
      </c>
      <c r="C747" s="74" t="s">
        <v>46</v>
      </c>
      <c r="D747" s="74" t="s">
        <v>47</v>
      </c>
      <c r="E747" s="78" t="s">
        <v>572</v>
      </c>
      <c r="F747" s="440">
        <f>ROUND(1,15)</f>
        <v>1</v>
      </c>
      <c r="G747" s="440">
        <f t="shared" si="138"/>
        <v>6.6574676301500082</v>
      </c>
      <c r="H747" s="439">
        <f t="shared" si="139"/>
        <v>6.65746763015001</v>
      </c>
      <c r="I747" s="520">
        <v>7.99</v>
      </c>
    </row>
    <row r="748" spans="1:9" ht="15" thickBot="1">
      <c r="A748" s="94" t="s">
        <v>573</v>
      </c>
      <c r="B748" s="95" t="s">
        <v>148</v>
      </c>
      <c r="C748" s="74" t="s">
        <v>46</v>
      </c>
      <c r="D748" s="74" t="s">
        <v>47</v>
      </c>
      <c r="E748" s="78" t="s">
        <v>574</v>
      </c>
      <c r="F748" s="440">
        <f>ROUND(1,15)</f>
        <v>1</v>
      </c>
      <c r="G748" s="440">
        <f t="shared" si="138"/>
        <v>4.4327569202000054</v>
      </c>
      <c r="H748" s="439">
        <f t="shared" si="139"/>
        <v>4.4327569202000099</v>
      </c>
      <c r="I748" s="520">
        <v>5.32</v>
      </c>
    </row>
    <row r="749" spans="1:9" ht="26.1" customHeight="1" thickBot="1">
      <c r="A749" s="92">
        <v>90373</v>
      </c>
      <c r="B749" s="93" t="s">
        <v>45</v>
      </c>
      <c r="C749" s="58" t="s">
        <v>46</v>
      </c>
      <c r="D749" s="58" t="s">
        <v>47</v>
      </c>
      <c r="E749" s="59" t="s">
        <v>575</v>
      </c>
      <c r="F749" s="437">
        <f>ROUND(38,15)</f>
        <v>38</v>
      </c>
      <c r="G749" s="437">
        <f t="shared" si="138"/>
        <v>11.406850044650012</v>
      </c>
      <c r="H749" s="439">
        <f t="shared" si="139"/>
        <v>433.46030169670001</v>
      </c>
      <c r="I749" s="520">
        <v>13.69</v>
      </c>
    </row>
    <row r="750" spans="1:9" ht="26.1" customHeight="1" thickBot="1">
      <c r="A750" s="92">
        <v>89366</v>
      </c>
      <c r="B750" s="93" t="s">
        <v>45</v>
      </c>
      <c r="C750" s="58" t="s">
        <v>46</v>
      </c>
      <c r="D750" s="58" t="s">
        <v>47</v>
      </c>
      <c r="E750" s="59" t="s">
        <v>576</v>
      </c>
      <c r="F750" s="437">
        <f>ROUND(4,15)</f>
        <v>4</v>
      </c>
      <c r="G750" s="437">
        <f t="shared" si="138"/>
        <v>12.398387776800016</v>
      </c>
      <c r="H750" s="439">
        <f t="shared" si="139"/>
        <v>49.593551107200099</v>
      </c>
      <c r="I750" s="520">
        <v>14.88</v>
      </c>
    </row>
    <row r="751" spans="1:9" ht="26.1" customHeight="1" thickBot="1">
      <c r="A751" s="92">
        <v>89396</v>
      </c>
      <c r="B751" s="93" t="s">
        <v>45</v>
      </c>
      <c r="C751" s="58" t="s">
        <v>46</v>
      </c>
      <c r="D751" s="58" t="s">
        <v>47</v>
      </c>
      <c r="E751" s="59" t="s">
        <v>577</v>
      </c>
      <c r="F751" s="437">
        <f>ROUND(11,15)</f>
        <v>11</v>
      </c>
      <c r="G751" s="437">
        <f t="shared" si="138"/>
        <v>15.981255212300018</v>
      </c>
      <c r="H751" s="439">
        <f t="shared" si="139"/>
        <v>175.79380733529999</v>
      </c>
      <c r="I751" s="520">
        <v>19.18</v>
      </c>
    </row>
    <row r="752" spans="1:9" ht="26.1" customHeight="1" thickBot="1">
      <c r="A752" s="92">
        <v>90374</v>
      </c>
      <c r="B752" s="93" t="s">
        <v>45</v>
      </c>
      <c r="C752" s="58" t="s">
        <v>46</v>
      </c>
      <c r="D752" s="58" t="s">
        <v>47</v>
      </c>
      <c r="E752" s="59" t="s">
        <v>578</v>
      </c>
      <c r="F752" s="437">
        <f>ROUND(1,15)</f>
        <v>1</v>
      </c>
      <c r="G752" s="437">
        <f t="shared" si="138"/>
        <v>17.91433717750002</v>
      </c>
      <c r="H752" s="439">
        <f t="shared" si="139"/>
        <v>17.914337177499998</v>
      </c>
      <c r="I752" s="520">
        <v>21.5</v>
      </c>
    </row>
    <row r="753" spans="1:9" ht="26.1" customHeight="1" thickBot="1">
      <c r="A753" s="92">
        <v>89381</v>
      </c>
      <c r="B753" s="93" t="s">
        <v>45</v>
      </c>
      <c r="C753" s="58" t="s">
        <v>46</v>
      </c>
      <c r="D753" s="58" t="s">
        <v>47</v>
      </c>
      <c r="E753" s="59" t="s">
        <v>579</v>
      </c>
      <c r="F753" s="437">
        <f>ROUND(9,15)</f>
        <v>9</v>
      </c>
      <c r="G753" s="437">
        <f t="shared" si="138"/>
        <v>10.265331815200012</v>
      </c>
      <c r="H753" s="439">
        <f t="shared" si="139"/>
        <v>92.387986336800097</v>
      </c>
      <c r="I753" s="520">
        <v>12.32</v>
      </c>
    </row>
    <row r="754" spans="1:9" ht="26.1" customHeight="1" thickBot="1">
      <c r="A754" s="92">
        <v>89614</v>
      </c>
      <c r="B754" s="93" t="s">
        <v>45</v>
      </c>
      <c r="C754" s="58" t="s">
        <v>46</v>
      </c>
      <c r="D754" s="58" t="s">
        <v>47</v>
      </c>
      <c r="E754" s="59" t="s">
        <v>580</v>
      </c>
      <c r="F754" s="437">
        <f>ROUND(4,15)</f>
        <v>4</v>
      </c>
      <c r="G754" s="437">
        <f t="shared" si="138"/>
        <v>52.359858057400061</v>
      </c>
      <c r="H754" s="439">
        <f t="shared" si="139"/>
        <v>209.43943222959999</v>
      </c>
      <c r="I754" s="520">
        <v>62.84</v>
      </c>
    </row>
    <row r="755" spans="1:9" ht="26.1" customHeight="1" thickBot="1">
      <c r="A755" s="92">
        <v>89597</v>
      </c>
      <c r="B755" s="93" t="s">
        <v>45</v>
      </c>
      <c r="C755" s="58" t="s">
        <v>46</v>
      </c>
      <c r="D755" s="58" t="s">
        <v>47</v>
      </c>
      <c r="E755" s="59" t="s">
        <v>581</v>
      </c>
      <c r="F755" s="437">
        <f>ROUND(2,15)</f>
        <v>2</v>
      </c>
      <c r="G755" s="437">
        <f t="shared" si="138"/>
        <v>16.69782869940002</v>
      </c>
      <c r="H755" s="439">
        <f t="shared" si="139"/>
        <v>33.395657398799997</v>
      </c>
      <c r="I755" s="520">
        <v>20.04</v>
      </c>
    </row>
    <row r="756" spans="1:9" ht="26.1" customHeight="1" thickBot="1">
      <c r="A756" s="92">
        <v>89558</v>
      </c>
      <c r="B756" s="93" t="s">
        <v>45</v>
      </c>
      <c r="C756" s="58" t="s">
        <v>46</v>
      </c>
      <c r="D756" s="58" t="s">
        <v>47</v>
      </c>
      <c r="E756" s="59" t="s">
        <v>582</v>
      </c>
      <c r="F756" s="437">
        <f>ROUND(4,15)</f>
        <v>4</v>
      </c>
      <c r="G756" s="437">
        <f t="shared" si="138"/>
        <v>7.0324188734000082</v>
      </c>
      <c r="H756" s="439">
        <f t="shared" si="139"/>
        <v>28.129675493600001</v>
      </c>
      <c r="I756" s="520">
        <v>8.44</v>
      </c>
    </row>
    <row r="757" spans="1:9" ht="26.1" customHeight="1" thickBot="1">
      <c r="A757" s="92">
        <v>89431</v>
      </c>
      <c r="B757" s="93" t="s">
        <v>45</v>
      </c>
      <c r="C757" s="58" t="s">
        <v>46</v>
      </c>
      <c r="D757" s="58" t="s">
        <v>47</v>
      </c>
      <c r="E757" s="59" t="s">
        <v>1398</v>
      </c>
      <c r="F757" s="437">
        <f>ROUND(4,15)</f>
        <v>4</v>
      </c>
      <c r="G757" s="437">
        <f t="shared" si="138"/>
        <v>5.3493044037000059</v>
      </c>
      <c r="H757" s="439">
        <f t="shared" si="139"/>
        <v>21.397217614799999</v>
      </c>
      <c r="I757" s="520">
        <v>6.42</v>
      </c>
    </row>
    <row r="758" spans="1:9" ht="26.1" customHeight="1" thickBot="1">
      <c r="A758" s="92">
        <v>89371</v>
      </c>
      <c r="B758" s="93" t="s">
        <v>45</v>
      </c>
      <c r="C758" s="58" t="s">
        <v>46</v>
      </c>
      <c r="D758" s="58" t="s">
        <v>47</v>
      </c>
      <c r="E758" s="59" t="s">
        <v>1399</v>
      </c>
      <c r="F758" s="437">
        <f>ROUND(8,15)</f>
        <v>8</v>
      </c>
      <c r="G758" s="437">
        <f t="shared" si="138"/>
        <v>4.2494474235000048</v>
      </c>
      <c r="H758" s="439">
        <f t="shared" si="139"/>
        <v>33.995579388000003</v>
      </c>
      <c r="I758" s="520">
        <v>5.0999999999999996</v>
      </c>
    </row>
    <row r="759" spans="1:9" ht="36" customHeight="1" thickBot="1">
      <c r="A759" s="92">
        <v>94500</v>
      </c>
      <c r="B759" s="93" t="s">
        <v>45</v>
      </c>
      <c r="C759" s="58" t="s">
        <v>46</v>
      </c>
      <c r="D759" s="58" t="s">
        <v>47</v>
      </c>
      <c r="E759" s="59" t="s">
        <v>583</v>
      </c>
      <c r="F759" s="437">
        <f>ROUND(2,15)</f>
        <v>2</v>
      </c>
      <c r="G759" s="437">
        <f t="shared" si="138"/>
        <v>269.00668640725036</v>
      </c>
      <c r="H759" s="439">
        <f t="shared" si="139"/>
        <v>538.01337281450105</v>
      </c>
      <c r="I759" s="520">
        <v>322.85000000000002</v>
      </c>
    </row>
    <row r="760" spans="1:9" ht="36" customHeight="1" thickBot="1">
      <c r="A760" s="92">
        <v>94498</v>
      </c>
      <c r="B760" s="93" t="s">
        <v>45</v>
      </c>
      <c r="C760" s="58" t="s">
        <v>46</v>
      </c>
      <c r="D760" s="58" t="s">
        <v>47</v>
      </c>
      <c r="E760" s="59" t="s">
        <v>584</v>
      </c>
      <c r="F760" s="437">
        <f>ROUND(3,15)</f>
        <v>3</v>
      </c>
      <c r="G760" s="437">
        <f t="shared" si="138"/>
        <v>123.55060077580015</v>
      </c>
      <c r="H760" s="439">
        <f t="shared" si="139"/>
        <v>370.65180232739999</v>
      </c>
      <c r="I760" s="520">
        <v>148.28</v>
      </c>
    </row>
    <row r="761" spans="1:9" ht="36" customHeight="1" thickBot="1">
      <c r="A761" s="92">
        <v>94497</v>
      </c>
      <c r="B761" s="93" t="s">
        <v>45</v>
      </c>
      <c r="C761" s="58" t="s">
        <v>46</v>
      </c>
      <c r="D761" s="58" t="s">
        <v>47</v>
      </c>
      <c r="E761" s="59" t="s">
        <v>585</v>
      </c>
      <c r="F761" s="437">
        <f>ROUND(4,15)</f>
        <v>4</v>
      </c>
      <c r="G761" s="437">
        <f t="shared" si="138"/>
        <v>95.412593032350117</v>
      </c>
      <c r="H761" s="439">
        <f t="shared" si="139"/>
        <v>381.65037212940001</v>
      </c>
      <c r="I761" s="520">
        <v>114.51</v>
      </c>
    </row>
    <row r="762" spans="1:9" ht="36" customHeight="1" thickBot="1">
      <c r="A762" s="92">
        <v>94496</v>
      </c>
      <c r="B762" s="93" t="s">
        <v>45</v>
      </c>
      <c r="C762" s="58" t="s">
        <v>46</v>
      </c>
      <c r="D762" s="58" t="s">
        <v>47</v>
      </c>
      <c r="E762" s="59" t="s">
        <v>531</v>
      </c>
      <c r="F762" s="437">
        <f>ROUND(2,15)</f>
        <v>2</v>
      </c>
      <c r="G762" s="437">
        <f t="shared" si="138"/>
        <v>81.156113539000103</v>
      </c>
      <c r="H762" s="439">
        <f t="shared" si="139"/>
        <v>162.31222707800001</v>
      </c>
      <c r="I762" s="520">
        <v>97.4</v>
      </c>
    </row>
    <row r="763" spans="1:9" ht="36" customHeight="1" thickBot="1">
      <c r="A763" s="92">
        <v>94495</v>
      </c>
      <c r="B763" s="93" t="s">
        <v>45</v>
      </c>
      <c r="C763" s="58" t="s">
        <v>46</v>
      </c>
      <c r="D763" s="58" t="s">
        <v>47</v>
      </c>
      <c r="E763" s="59" t="s">
        <v>532</v>
      </c>
      <c r="F763" s="437">
        <f>ROUND(4,15)</f>
        <v>4</v>
      </c>
      <c r="G763" s="437">
        <f t="shared" si="138"/>
        <v>66.099738060050072</v>
      </c>
      <c r="H763" s="439">
        <f t="shared" si="139"/>
        <v>264.3989522402</v>
      </c>
      <c r="I763" s="520">
        <v>79.33</v>
      </c>
    </row>
    <row r="764" spans="1:9" ht="26.1" customHeight="1" thickBot="1">
      <c r="A764" s="92">
        <v>89353</v>
      </c>
      <c r="B764" s="93" t="s">
        <v>45</v>
      </c>
      <c r="C764" s="58" t="s">
        <v>46</v>
      </c>
      <c r="D764" s="58" t="s">
        <v>47</v>
      </c>
      <c r="E764" s="59" t="s">
        <v>533</v>
      </c>
      <c r="F764" s="437">
        <f>ROUND(8,15)</f>
        <v>8</v>
      </c>
      <c r="G764" s="437">
        <f t="shared" si="138"/>
        <v>32.137487671450039</v>
      </c>
      <c r="H764" s="439">
        <f t="shared" si="139"/>
        <v>257.09990137160003</v>
      </c>
      <c r="I764" s="520">
        <v>38.57</v>
      </c>
    </row>
    <row r="765" spans="1:9" ht="36" customHeight="1" thickBot="1">
      <c r="A765" s="92">
        <v>94794</v>
      </c>
      <c r="B765" s="93" t="s">
        <v>45</v>
      </c>
      <c r="C765" s="58" t="s">
        <v>46</v>
      </c>
      <c r="D765" s="58" t="s">
        <v>47</v>
      </c>
      <c r="E765" s="59" t="s">
        <v>1400</v>
      </c>
      <c r="F765" s="437">
        <f>ROUND(7,15)</f>
        <v>7</v>
      </c>
      <c r="G765" s="437">
        <f t="shared" si="138"/>
        <v>136.47392029315014</v>
      </c>
      <c r="H765" s="439">
        <f t="shared" si="139"/>
        <v>955.31744205205098</v>
      </c>
      <c r="I765" s="520">
        <v>163.79</v>
      </c>
    </row>
    <row r="766" spans="1:9" ht="36" customHeight="1" thickBot="1">
      <c r="A766" s="92">
        <v>94792</v>
      </c>
      <c r="B766" s="93" t="s">
        <v>45</v>
      </c>
      <c r="C766" s="58" t="s">
        <v>46</v>
      </c>
      <c r="D766" s="58" t="s">
        <v>47</v>
      </c>
      <c r="E766" s="59" t="s">
        <v>586</v>
      </c>
      <c r="F766" s="437">
        <f>ROUND(3,15)</f>
        <v>3</v>
      </c>
      <c r="G766" s="437">
        <f t="shared" si="138"/>
        <v>101.63678367030012</v>
      </c>
      <c r="H766" s="439">
        <f t="shared" si="139"/>
        <v>304.9103510109</v>
      </c>
      <c r="I766" s="520">
        <v>121.98</v>
      </c>
    </row>
    <row r="767" spans="1:9" ht="26.1" customHeight="1" thickBot="1">
      <c r="A767" s="92">
        <v>89987</v>
      </c>
      <c r="B767" s="93" t="s">
        <v>45</v>
      </c>
      <c r="C767" s="58" t="s">
        <v>46</v>
      </c>
      <c r="D767" s="58" t="s">
        <v>47</v>
      </c>
      <c r="E767" s="59" t="s">
        <v>1401</v>
      </c>
      <c r="F767" s="437">
        <f>ROUND(12,15)</f>
        <v>12</v>
      </c>
      <c r="G767" s="437">
        <f t="shared" si="138"/>
        <v>70.807459225300093</v>
      </c>
      <c r="H767" s="439">
        <f t="shared" si="139"/>
        <v>849.68951070360094</v>
      </c>
      <c r="I767" s="520">
        <v>84.98</v>
      </c>
    </row>
    <row r="768" spans="1:9" ht="26.1" customHeight="1" thickBot="1">
      <c r="A768" s="96">
        <v>89985</v>
      </c>
      <c r="B768" s="97" t="s">
        <v>45</v>
      </c>
      <c r="C768" s="60" t="s">
        <v>46</v>
      </c>
      <c r="D768" s="60" t="s">
        <v>47</v>
      </c>
      <c r="E768" s="61" t="s">
        <v>1402</v>
      </c>
      <c r="F768" s="442">
        <f>ROUND(9,15)</f>
        <v>9</v>
      </c>
      <c r="G768" s="437">
        <f t="shared" si="138"/>
        <v>67.307914288300083</v>
      </c>
      <c r="H768" s="439">
        <f t="shared" si="139"/>
        <v>605.77122859470103</v>
      </c>
      <c r="I768" s="520">
        <v>80.78</v>
      </c>
    </row>
    <row r="769" spans="1:9" ht="15.75" thickTop="1" thickBot="1">
      <c r="A769" s="164"/>
      <c r="B769" s="53"/>
      <c r="C769" s="53"/>
      <c r="D769" s="136"/>
      <c r="E769" s="524" t="s">
        <v>545</v>
      </c>
      <c r="F769" s="387"/>
      <c r="G769" s="388">
        <f>H708+H709+H710+H711+H712+H713+H714+H715+H716+H717+H718+H719+H720+H721+H722+H723+H724+H725+H726+H727+H728+H729+H730+H731+H732+H733+H734+H735+H736+H737+H738+H739+H740+H741+H742+H743+H744+H745+H746+H747+H748+H749+H750+H751+H752+H753+H754+H755+H756+H757+H758+H759+H760+H761+H762+H763+H764+H765+H766+H767+H768</f>
        <v>14945.139610162521</v>
      </c>
      <c r="H769" s="389">
        <f>ROUND(G769,15)</f>
        <v>14945.1396101625</v>
      </c>
      <c r="I769" s="520"/>
    </row>
    <row r="770" spans="1:9" ht="15.75" thickTop="1" thickBot="1">
      <c r="A770" s="272" t="s">
        <v>589</v>
      </c>
      <c r="B770" s="273"/>
      <c r="C770" s="273" t="s">
        <v>38</v>
      </c>
      <c r="D770" s="274"/>
      <c r="E770" s="353" t="s">
        <v>590</v>
      </c>
      <c r="F770" s="276"/>
      <c r="G770" s="277">
        <f>G784</f>
        <v>16486.472849704907</v>
      </c>
      <c r="H770" s="278">
        <f>ROUND(G770,15)</f>
        <v>16486.4728497049</v>
      </c>
      <c r="I770" s="520"/>
    </row>
    <row r="771" spans="1:9" ht="15.75" thickTop="1" thickBot="1">
      <c r="A771" s="100">
        <v>86886</v>
      </c>
      <c r="B771" s="101" t="s">
        <v>45</v>
      </c>
      <c r="C771" s="64" t="s">
        <v>46</v>
      </c>
      <c r="D771" s="64" t="s">
        <v>47</v>
      </c>
      <c r="E771" s="65" t="s">
        <v>591</v>
      </c>
      <c r="F771" s="446">
        <f>ROUND(6,15)</f>
        <v>6</v>
      </c>
      <c r="G771" s="440">
        <f t="shared" ref="G771:G783" si="140">I771*(100%-$I$14)</f>
        <v>31.929181425200039</v>
      </c>
      <c r="H771" s="447">
        <f t="shared" ref="H771:H783" si="141">ROUND(F771*G771,15)</f>
        <v>191.5750885512</v>
      </c>
      <c r="I771" s="520">
        <v>38.32</v>
      </c>
    </row>
    <row r="772" spans="1:9" ht="15" thickBot="1">
      <c r="A772" s="94" t="s">
        <v>592</v>
      </c>
      <c r="B772" s="95" t="s">
        <v>57</v>
      </c>
      <c r="C772" s="74" t="s">
        <v>46</v>
      </c>
      <c r="D772" s="74" t="s">
        <v>47</v>
      </c>
      <c r="E772" s="78" t="s">
        <v>593</v>
      </c>
      <c r="F772" s="440">
        <f>ROUND(14,15)</f>
        <v>14</v>
      </c>
      <c r="G772" s="440">
        <f t="shared" si="140"/>
        <v>63.441750357900077</v>
      </c>
      <c r="H772" s="441">
        <f t="shared" si="141"/>
        <v>888.18450501060101</v>
      </c>
      <c r="I772" s="520">
        <v>76.14</v>
      </c>
    </row>
    <row r="773" spans="1:9" ht="36" customHeight="1" thickBot="1">
      <c r="A773" s="92" t="s">
        <v>594</v>
      </c>
      <c r="B773" s="93" t="s">
        <v>57</v>
      </c>
      <c r="C773" s="58" t="s">
        <v>46</v>
      </c>
      <c r="D773" s="58" t="s">
        <v>47</v>
      </c>
      <c r="E773" s="59" t="s">
        <v>595</v>
      </c>
      <c r="F773" s="437">
        <f>ROUND(6,15)</f>
        <v>6</v>
      </c>
      <c r="G773" s="437">
        <f t="shared" si="140"/>
        <v>454.49923256795057</v>
      </c>
      <c r="H773" s="439">
        <f t="shared" si="141"/>
        <v>2726.9953954077</v>
      </c>
      <c r="I773" s="520">
        <v>545.47</v>
      </c>
    </row>
    <row r="774" spans="1:9" ht="26.1" customHeight="1" thickBot="1">
      <c r="A774" s="92">
        <v>86938</v>
      </c>
      <c r="B774" s="93" t="s">
        <v>45</v>
      </c>
      <c r="C774" s="58" t="s">
        <v>46</v>
      </c>
      <c r="D774" s="58" t="s">
        <v>47</v>
      </c>
      <c r="E774" s="59" t="s">
        <v>596</v>
      </c>
      <c r="F774" s="437">
        <f>ROUND(16,15)</f>
        <v>16</v>
      </c>
      <c r="G774" s="437">
        <f t="shared" si="140"/>
        <v>249.62587325615027</v>
      </c>
      <c r="H774" s="439">
        <f t="shared" si="141"/>
        <v>3994.0139720983998</v>
      </c>
      <c r="I774" s="520">
        <v>299.58999999999997</v>
      </c>
    </row>
    <row r="775" spans="1:9" ht="26.1" customHeight="1" thickBot="1">
      <c r="A775" s="92">
        <v>86935</v>
      </c>
      <c r="B775" s="93" t="s">
        <v>45</v>
      </c>
      <c r="C775" s="58" t="s">
        <v>46</v>
      </c>
      <c r="D775" s="58" t="s">
        <v>47</v>
      </c>
      <c r="E775" s="59" t="s">
        <v>597</v>
      </c>
      <c r="F775" s="437">
        <f>ROUND(2,15)</f>
        <v>2</v>
      </c>
      <c r="G775" s="437">
        <f t="shared" si="140"/>
        <v>180.7598282459002</v>
      </c>
      <c r="H775" s="439">
        <f t="shared" si="141"/>
        <v>361.51965649179999</v>
      </c>
      <c r="I775" s="520">
        <v>216.94</v>
      </c>
    </row>
    <row r="776" spans="1:9" ht="26.1" customHeight="1" thickBot="1">
      <c r="A776" s="92" t="s">
        <v>598</v>
      </c>
      <c r="B776" s="93" t="s">
        <v>148</v>
      </c>
      <c r="C776" s="58" t="s">
        <v>46</v>
      </c>
      <c r="D776" s="58" t="s">
        <v>47</v>
      </c>
      <c r="E776" s="59" t="s">
        <v>599</v>
      </c>
      <c r="F776" s="437">
        <f>ROUND(3,15)</f>
        <v>3</v>
      </c>
      <c r="G776" s="437">
        <f t="shared" si="140"/>
        <v>450.2664496441505</v>
      </c>
      <c r="H776" s="439">
        <f t="shared" si="141"/>
        <v>1350.7993489324499</v>
      </c>
      <c r="I776" s="520">
        <v>540.39</v>
      </c>
    </row>
    <row r="777" spans="1:9" ht="26.1" customHeight="1" thickBot="1">
      <c r="A777" s="92" t="s">
        <v>600</v>
      </c>
      <c r="B777" s="93" t="s">
        <v>148</v>
      </c>
      <c r="C777" s="58" t="s">
        <v>46</v>
      </c>
      <c r="D777" s="58" t="s">
        <v>47</v>
      </c>
      <c r="E777" s="59" t="s">
        <v>601</v>
      </c>
      <c r="F777" s="437">
        <f>ROUND(16,15)</f>
        <v>16</v>
      </c>
      <c r="G777" s="437">
        <f t="shared" si="140"/>
        <v>141.24829945720018</v>
      </c>
      <c r="H777" s="439">
        <f t="shared" si="141"/>
        <v>2259.9727913152001</v>
      </c>
      <c r="I777" s="520">
        <v>169.52</v>
      </c>
    </row>
    <row r="778" spans="1:9" ht="26.1" customHeight="1" thickBot="1">
      <c r="A778" s="92" t="s">
        <v>602</v>
      </c>
      <c r="B778" s="93" t="s">
        <v>148</v>
      </c>
      <c r="C778" s="58" t="s">
        <v>46</v>
      </c>
      <c r="D778" s="58" t="s">
        <v>47</v>
      </c>
      <c r="E778" s="59" t="s">
        <v>603</v>
      </c>
      <c r="F778" s="437">
        <f>ROUND(2,15)</f>
        <v>2</v>
      </c>
      <c r="G778" s="437">
        <f t="shared" si="140"/>
        <v>225.22071344550028</v>
      </c>
      <c r="H778" s="439">
        <f t="shared" si="141"/>
        <v>450.44142689100102</v>
      </c>
      <c r="I778" s="520">
        <v>270.3</v>
      </c>
    </row>
    <row r="779" spans="1:9" ht="26.1" customHeight="1" thickBot="1">
      <c r="A779" s="92">
        <v>86910</v>
      </c>
      <c r="B779" s="93" t="s">
        <v>45</v>
      </c>
      <c r="C779" s="58" t="s">
        <v>46</v>
      </c>
      <c r="D779" s="58" t="s">
        <v>47</v>
      </c>
      <c r="E779" s="59" t="s">
        <v>604</v>
      </c>
      <c r="F779" s="437">
        <f>ROUND(3,15)</f>
        <v>3</v>
      </c>
      <c r="G779" s="437">
        <f t="shared" si="140"/>
        <v>82.822563509000105</v>
      </c>
      <c r="H779" s="439">
        <f t="shared" si="141"/>
        <v>248.467690527</v>
      </c>
      <c r="I779" s="520">
        <v>99.4</v>
      </c>
    </row>
    <row r="780" spans="1:9" ht="15.95" customHeight="1" thickBot="1">
      <c r="A780" s="94" t="s">
        <v>605</v>
      </c>
      <c r="B780" s="95" t="s">
        <v>148</v>
      </c>
      <c r="C780" s="74" t="s">
        <v>46</v>
      </c>
      <c r="D780" s="74" t="s">
        <v>47</v>
      </c>
      <c r="E780" s="78" t="s">
        <v>606</v>
      </c>
      <c r="F780" s="440">
        <f>ROUND(9,15)</f>
        <v>9</v>
      </c>
      <c r="G780" s="440">
        <f t="shared" si="140"/>
        <v>53.051434794950062</v>
      </c>
      <c r="H780" s="441">
        <f t="shared" si="141"/>
        <v>477.46291315455102</v>
      </c>
      <c r="I780" s="520">
        <v>63.67</v>
      </c>
    </row>
    <row r="781" spans="1:9" ht="36" customHeight="1" thickBot="1">
      <c r="A781" s="92" t="s">
        <v>607</v>
      </c>
      <c r="B781" s="93" t="s">
        <v>148</v>
      </c>
      <c r="C781" s="58" t="s">
        <v>46</v>
      </c>
      <c r="D781" s="58" t="s">
        <v>47</v>
      </c>
      <c r="E781" s="59" t="s">
        <v>608</v>
      </c>
      <c r="F781" s="437">
        <f>ROUND(13,15)</f>
        <v>13</v>
      </c>
      <c r="G781" s="437">
        <f t="shared" si="140"/>
        <v>188.85877510010022</v>
      </c>
      <c r="H781" s="439">
        <f t="shared" si="141"/>
        <v>2455.1640763013002</v>
      </c>
      <c r="I781" s="520">
        <v>226.66</v>
      </c>
    </row>
    <row r="782" spans="1:9" ht="26.1" customHeight="1" thickBot="1">
      <c r="A782" s="92" t="s">
        <v>609</v>
      </c>
      <c r="B782" s="93" t="s">
        <v>148</v>
      </c>
      <c r="C782" s="58" t="s">
        <v>46</v>
      </c>
      <c r="D782" s="58" t="s">
        <v>47</v>
      </c>
      <c r="E782" s="59" t="s">
        <v>610</v>
      </c>
      <c r="F782" s="437">
        <f>ROUND(1,15)</f>
        <v>1</v>
      </c>
      <c r="G782" s="437">
        <f t="shared" si="140"/>
        <v>607.2210400686007</v>
      </c>
      <c r="H782" s="439">
        <f t="shared" si="141"/>
        <v>607.22104006860104</v>
      </c>
      <c r="I782" s="520">
        <v>728.76</v>
      </c>
    </row>
    <row r="783" spans="1:9" ht="26.1" customHeight="1" thickBot="1">
      <c r="A783" s="96" t="s">
        <v>611</v>
      </c>
      <c r="B783" s="97" t="s">
        <v>148</v>
      </c>
      <c r="C783" s="60" t="s">
        <v>46</v>
      </c>
      <c r="D783" s="60" t="s">
        <v>47</v>
      </c>
      <c r="E783" s="61" t="s">
        <v>612</v>
      </c>
      <c r="F783" s="442">
        <f>ROUND(1,15)</f>
        <v>1</v>
      </c>
      <c r="G783" s="437">
        <f t="shared" si="140"/>
        <v>474.65494495510052</v>
      </c>
      <c r="H783" s="443">
        <f t="shared" si="141"/>
        <v>474.65494495510097</v>
      </c>
      <c r="I783" s="520">
        <v>569.66</v>
      </c>
    </row>
    <row r="784" spans="1:9" ht="15.75" thickTop="1" thickBot="1">
      <c r="A784" s="85"/>
      <c r="B784" s="86"/>
      <c r="C784" s="86"/>
      <c r="D784" s="112"/>
      <c r="E784" s="394" t="s">
        <v>589</v>
      </c>
      <c r="F784" s="395"/>
      <c r="G784" s="396">
        <f>H771+H772+H773+H774+H775+H776+H777+H778+H779+H780+H781+H782+H783</f>
        <v>16486.472849704907</v>
      </c>
      <c r="H784" s="397">
        <f>ROUND(G784,15)</f>
        <v>16486.4728497049</v>
      </c>
      <c r="I784" s="520"/>
    </row>
    <row r="785" spans="1:9" ht="15" thickBot="1">
      <c r="A785" s="114"/>
      <c r="B785" s="115"/>
      <c r="C785" s="115"/>
      <c r="D785" s="116"/>
      <c r="E785" s="398" t="s">
        <v>523</v>
      </c>
      <c r="F785" s="399"/>
      <c r="G785" s="400">
        <f>H685+H706+H769+H784</f>
        <v>36818.12385869259</v>
      </c>
      <c r="H785" s="401">
        <f>ROUND(G785,15)</f>
        <v>36818.123858692503</v>
      </c>
      <c r="I785" s="520"/>
    </row>
    <row r="786" spans="1:9" ht="15.75" thickTop="1" thickBot="1">
      <c r="A786" s="279" t="s">
        <v>613</v>
      </c>
      <c r="B786" s="280"/>
      <c r="C786" s="280" t="s">
        <v>38</v>
      </c>
      <c r="D786" s="281"/>
      <c r="E786" s="354" t="s">
        <v>614</v>
      </c>
      <c r="F786" s="283"/>
      <c r="G786" s="284">
        <f>G820</f>
        <v>18386.48861466521</v>
      </c>
      <c r="H786" s="285">
        <f>ROUND(G786,15)</f>
        <v>18386.488614665199</v>
      </c>
      <c r="I786" s="520"/>
    </row>
    <row r="787" spans="1:9" ht="15" thickBot="1">
      <c r="A787" s="265" t="s">
        <v>615</v>
      </c>
      <c r="B787" s="266"/>
      <c r="C787" s="266" t="s">
        <v>38</v>
      </c>
      <c r="D787" s="267"/>
      <c r="E787" s="352" t="s">
        <v>616</v>
      </c>
      <c r="F787" s="269"/>
      <c r="G787" s="270">
        <f>G812</f>
        <v>10551.257468217686</v>
      </c>
      <c r="H787" s="271">
        <f>ROUND(G787,15)</f>
        <v>10551.2574682177</v>
      </c>
      <c r="I787" s="520"/>
    </row>
    <row r="788" spans="1:9" ht="15.75" thickTop="1" thickBot="1">
      <c r="A788" s="100" t="s">
        <v>617</v>
      </c>
      <c r="B788" s="101" t="s">
        <v>148</v>
      </c>
      <c r="C788" s="64" t="s">
        <v>46</v>
      </c>
      <c r="D788" s="64" t="s">
        <v>68</v>
      </c>
      <c r="E788" s="65" t="s">
        <v>618</v>
      </c>
      <c r="F788" s="446">
        <f>ROUND(1.19,15)</f>
        <v>1.19</v>
      </c>
      <c r="G788" s="437">
        <f t="shared" ref="G788:G811" si="142">I788*(100%-$I$14)</f>
        <v>31.354256185550039</v>
      </c>
      <c r="H788" s="447">
        <f t="shared" ref="H788:H811" si="143">ROUND(F788*G788,15)</f>
        <v>37.311564860804502</v>
      </c>
      <c r="I788" s="520">
        <v>37.630000000000003</v>
      </c>
    </row>
    <row r="789" spans="1:9" ht="15" thickBot="1">
      <c r="A789" s="94" t="s">
        <v>619</v>
      </c>
      <c r="B789" s="95" t="s">
        <v>148</v>
      </c>
      <c r="C789" s="74" t="s">
        <v>46</v>
      </c>
      <c r="D789" s="74" t="s">
        <v>68</v>
      </c>
      <c r="E789" s="78" t="s">
        <v>620</v>
      </c>
      <c r="F789" s="440">
        <f>ROUND(87.15,15)</f>
        <v>87.15</v>
      </c>
      <c r="G789" s="437">
        <f t="shared" si="142"/>
        <v>50.685075837550059</v>
      </c>
      <c r="H789" s="441">
        <f t="shared" si="143"/>
        <v>4417.2043592424898</v>
      </c>
      <c r="I789" s="520">
        <v>60.83</v>
      </c>
    </row>
    <row r="790" spans="1:9" ht="15" thickBot="1">
      <c r="A790" s="94" t="s">
        <v>621</v>
      </c>
      <c r="B790" s="95" t="s">
        <v>148</v>
      </c>
      <c r="C790" s="74" t="s">
        <v>46</v>
      </c>
      <c r="D790" s="74" t="s">
        <v>68</v>
      </c>
      <c r="E790" s="78" t="s">
        <v>622</v>
      </c>
      <c r="F790" s="440">
        <f>ROUND(54.21,15)</f>
        <v>54.21</v>
      </c>
      <c r="G790" s="437">
        <f t="shared" si="142"/>
        <v>49.576886607500057</v>
      </c>
      <c r="H790" s="441">
        <f t="shared" si="143"/>
        <v>2687.56302299258</v>
      </c>
      <c r="I790" s="520">
        <v>59.5</v>
      </c>
    </row>
    <row r="791" spans="1:9" ht="15" thickBot="1">
      <c r="A791" s="94" t="s">
        <v>623</v>
      </c>
      <c r="B791" s="95" t="s">
        <v>148</v>
      </c>
      <c r="C791" s="74" t="s">
        <v>46</v>
      </c>
      <c r="D791" s="74" t="s">
        <v>68</v>
      </c>
      <c r="E791" s="78" t="s">
        <v>624</v>
      </c>
      <c r="F791" s="440">
        <f>ROUND(2.78,15)</f>
        <v>2.78</v>
      </c>
      <c r="G791" s="437">
        <f t="shared" si="142"/>
        <v>63.566734105650077</v>
      </c>
      <c r="H791" s="441">
        <f t="shared" si="143"/>
        <v>176.715520813707</v>
      </c>
      <c r="I791" s="520">
        <v>76.290000000000006</v>
      </c>
    </row>
    <row r="792" spans="1:9" ht="15" thickBot="1">
      <c r="A792" s="94" t="s">
        <v>625</v>
      </c>
      <c r="B792" s="95" t="s">
        <v>148</v>
      </c>
      <c r="C792" s="74" t="s">
        <v>46</v>
      </c>
      <c r="D792" s="74" t="s">
        <v>47</v>
      </c>
      <c r="E792" s="78" t="s">
        <v>626</v>
      </c>
      <c r="F792" s="440">
        <f>ROUND(9,15)</f>
        <v>9</v>
      </c>
      <c r="G792" s="437">
        <f t="shared" si="142"/>
        <v>56.317676736150069</v>
      </c>
      <c r="H792" s="441">
        <f t="shared" si="143"/>
        <v>506.85909062535097</v>
      </c>
      <c r="I792" s="520">
        <v>67.59</v>
      </c>
    </row>
    <row r="793" spans="1:9" ht="36" customHeight="1" thickBot="1">
      <c r="A793" s="92">
        <v>94496</v>
      </c>
      <c r="B793" s="93" t="s">
        <v>45</v>
      </c>
      <c r="C793" s="58" t="s">
        <v>46</v>
      </c>
      <c r="D793" s="58" t="s">
        <v>47</v>
      </c>
      <c r="E793" s="59" t="s">
        <v>531</v>
      </c>
      <c r="F793" s="437">
        <f>ROUND(1,15)</f>
        <v>1</v>
      </c>
      <c r="G793" s="437">
        <f t="shared" si="142"/>
        <v>81.156113539000103</v>
      </c>
      <c r="H793" s="439">
        <f t="shared" si="143"/>
        <v>81.156113539000103</v>
      </c>
      <c r="I793" s="520">
        <v>97.4</v>
      </c>
    </row>
    <row r="794" spans="1:9" ht="36" customHeight="1" thickBot="1">
      <c r="A794" s="92">
        <v>94495</v>
      </c>
      <c r="B794" s="93" t="s">
        <v>45</v>
      </c>
      <c r="C794" s="58" t="s">
        <v>46</v>
      </c>
      <c r="D794" s="58" t="s">
        <v>47</v>
      </c>
      <c r="E794" s="59" t="s">
        <v>532</v>
      </c>
      <c r="F794" s="437">
        <f>ROUND(3,15)</f>
        <v>3</v>
      </c>
      <c r="G794" s="437">
        <f t="shared" si="142"/>
        <v>66.099738060050072</v>
      </c>
      <c r="H794" s="439">
        <f t="shared" si="143"/>
        <v>198.29921418014999</v>
      </c>
      <c r="I794" s="520">
        <v>79.33</v>
      </c>
    </row>
    <row r="795" spans="1:9" ht="26.1" customHeight="1" thickBot="1">
      <c r="A795" s="92">
        <v>89353</v>
      </c>
      <c r="B795" s="93" t="s">
        <v>45</v>
      </c>
      <c r="C795" s="58" t="s">
        <v>46</v>
      </c>
      <c r="D795" s="58" t="s">
        <v>47</v>
      </c>
      <c r="E795" s="59" t="s">
        <v>533</v>
      </c>
      <c r="F795" s="437">
        <f>ROUND(2,15)</f>
        <v>2</v>
      </c>
      <c r="G795" s="437">
        <f t="shared" si="142"/>
        <v>32.137487671450039</v>
      </c>
      <c r="H795" s="439">
        <f t="shared" si="143"/>
        <v>64.274975342900106</v>
      </c>
      <c r="I795" s="520">
        <v>38.57</v>
      </c>
    </row>
    <row r="796" spans="1:9" ht="26.1" customHeight="1" thickBot="1">
      <c r="A796" s="92">
        <v>89987</v>
      </c>
      <c r="B796" s="93" t="s">
        <v>45</v>
      </c>
      <c r="C796" s="58" t="s">
        <v>46</v>
      </c>
      <c r="D796" s="58" t="s">
        <v>47</v>
      </c>
      <c r="E796" s="59" t="s">
        <v>587</v>
      </c>
      <c r="F796" s="437">
        <f>ROUND(8,15)</f>
        <v>8</v>
      </c>
      <c r="G796" s="437">
        <f t="shared" si="142"/>
        <v>70.807459225300093</v>
      </c>
      <c r="H796" s="439">
        <f t="shared" si="143"/>
        <v>566.45967380240097</v>
      </c>
      <c r="I796" s="520">
        <v>84.98</v>
      </c>
    </row>
    <row r="797" spans="1:9" ht="26.1" customHeight="1" thickBot="1">
      <c r="A797" s="92">
        <v>89985</v>
      </c>
      <c r="B797" s="93" t="s">
        <v>45</v>
      </c>
      <c r="C797" s="58" t="s">
        <v>46</v>
      </c>
      <c r="D797" s="58" t="s">
        <v>47</v>
      </c>
      <c r="E797" s="59" t="s">
        <v>588</v>
      </c>
      <c r="F797" s="437">
        <f>ROUND(9,15)</f>
        <v>9</v>
      </c>
      <c r="G797" s="437">
        <f t="shared" si="142"/>
        <v>67.307914288300083</v>
      </c>
      <c r="H797" s="439">
        <f t="shared" si="143"/>
        <v>605.77122859470103</v>
      </c>
      <c r="I797" s="520">
        <v>80.78</v>
      </c>
    </row>
    <row r="798" spans="1:9" ht="26.1" customHeight="1" thickBot="1">
      <c r="A798" s="92">
        <v>92301</v>
      </c>
      <c r="B798" s="93" t="s">
        <v>45</v>
      </c>
      <c r="C798" s="58" t="s">
        <v>46</v>
      </c>
      <c r="D798" s="58" t="s">
        <v>47</v>
      </c>
      <c r="E798" s="59" t="s">
        <v>627</v>
      </c>
      <c r="F798" s="437">
        <f>ROUND(1,15)</f>
        <v>1</v>
      </c>
      <c r="G798" s="437">
        <f t="shared" si="142"/>
        <v>41.702910499250045</v>
      </c>
      <c r="H798" s="439">
        <f t="shared" si="143"/>
        <v>41.702910499250002</v>
      </c>
      <c r="I798" s="520">
        <v>50.05</v>
      </c>
    </row>
    <row r="799" spans="1:9" ht="26.1" customHeight="1" thickBot="1">
      <c r="A799" s="92">
        <v>92319</v>
      </c>
      <c r="B799" s="93" t="s">
        <v>45</v>
      </c>
      <c r="C799" s="58" t="s">
        <v>46</v>
      </c>
      <c r="D799" s="58" t="s">
        <v>47</v>
      </c>
      <c r="E799" s="59" t="s">
        <v>628</v>
      </c>
      <c r="F799" s="437">
        <f>ROUND(3,15)</f>
        <v>3</v>
      </c>
      <c r="G799" s="437">
        <f t="shared" si="142"/>
        <v>24.455153309750031</v>
      </c>
      <c r="H799" s="439">
        <f t="shared" si="143"/>
        <v>73.365459929250093</v>
      </c>
      <c r="I799" s="520">
        <v>29.35</v>
      </c>
    </row>
    <row r="800" spans="1:9" ht="26.1" customHeight="1" thickBot="1">
      <c r="A800" s="92">
        <v>92333</v>
      </c>
      <c r="B800" s="93" t="s">
        <v>45</v>
      </c>
      <c r="C800" s="58" t="s">
        <v>46</v>
      </c>
      <c r="D800" s="58" t="s">
        <v>47</v>
      </c>
      <c r="E800" s="59" t="s">
        <v>629</v>
      </c>
      <c r="F800" s="437">
        <f>ROUND(1,15)</f>
        <v>1</v>
      </c>
      <c r="G800" s="437">
        <f t="shared" si="142"/>
        <v>20.064057638800023</v>
      </c>
      <c r="H800" s="439">
        <f t="shared" si="143"/>
        <v>20.064057638800001</v>
      </c>
      <c r="I800" s="520">
        <v>24.08</v>
      </c>
    </row>
    <row r="801" spans="1:9" ht="15" thickBot="1">
      <c r="A801" s="94" t="s">
        <v>630</v>
      </c>
      <c r="B801" s="95" t="s">
        <v>148</v>
      </c>
      <c r="C801" s="74" t="s">
        <v>46</v>
      </c>
      <c r="D801" s="74" t="s">
        <v>47</v>
      </c>
      <c r="E801" s="78" t="s">
        <v>631</v>
      </c>
      <c r="F801" s="440">
        <f>ROUND(4,15)</f>
        <v>4</v>
      </c>
      <c r="G801" s="440">
        <f t="shared" si="142"/>
        <v>23.513609076700025</v>
      </c>
      <c r="H801" s="441">
        <f t="shared" si="143"/>
        <v>94.054436306800099</v>
      </c>
      <c r="I801" s="520">
        <v>28.22</v>
      </c>
    </row>
    <row r="802" spans="1:9" ht="26.1" customHeight="1" thickBot="1">
      <c r="A802" s="92">
        <v>93057</v>
      </c>
      <c r="B802" s="93" t="s">
        <v>45</v>
      </c>
      <c r="C802" s="58" t="s">
        <v>46</v>
      </c>
      <c r="D802" s="58" t="s">
        <v>47</v>
      </c>
      <c r="E802" s="59" t="s">
        <v>632</v>
      </c>
      <c r="F802" s="437">
        <f>ROUND(1,15)</f>
        <v>1</v>
      </c>
      <c r="G802" s="437">
        <f t="shared" si="142"/>
        <v>9.1821393347000111</v>
      </c>
      <c r="H802" s="439">
        <f t="shared" si="143"/>
        <v>9.1821393347000093</v>
      </c>
      <c r="I802" s="520">
        <v>11.02</v>
      </c>
    </row>
    <row r="803" spans="1:9" ht="26.1" customHeight="1" thickBot="1">
      <c r="A803" s="92">
        <v>92289</v>
      </c>
      <c r="B803" s="93" t="s">
        <v>45</v>
      </c>
      <c r="C803" s="58" t="s">
        <v>46</v>
      </c>
      <c r="D803" s="58" t="s">
        <v>47</v>
      </c>
      <c r="E803" s="59" t="s">
        <v>633</v>
      </c>
      <c r="F803" s="437">
        <f>ROUND(3,15)</f>
        <v>3</v>
      </c>
      <c r="G803" s="437">
        <f t="shared" si="142"/>
        <v>29.354516221550032</v>
      </c>
      <c r="H803" s="439">
        <f t="shared" si="143"/>
        <v>88.063548664650099</v>
      </c>
      <c r="I803" s="520">
        <v>35.229999999999997</v>
      </c>
    </row>
    <row r="804" spans="1:9" ht="26.1" customHeight="1" thickBot="1">
      <c r="A804" s="92">
        <v>92313</v>
      </c>
      <c r="B804" s="93" t="s">
        <v>45</v>
      </c>
      <c r="C804" s="58" t="s">
        <v>46</v>
      </c>
      <c r="D804" s="58" t="s">
        <v>47</v>
      </c>
      <c r="E804" s="59" t="s">
        <v>634</v>
      </c>
      <c r="F804" s="437">
        <f>ROUND(7,15)</f>
        <v>7</v>
      </c>
      <c r="G804" s="437">
        <f t="shared" si="142"/>
        <v>19.064187656800023</v>
      </c>
      <c r="H804" s="439">
        <f t="shared" si="143"/>
        <v>133.4493135976</v>
      </c>
      <c r="I804" s="520">
        <v>22.88</v>
      </c>
    </row>
    <row r="805" spans="1:9" ht="26.1" customHeight="1" thickBot="1">
      <c r="A805" s="92">
        <v>92327</v>
      </c>
      <c r="B805" s="93" t="s">
        <v>45</v>
      </c>
      <c r="C805" s="58" t="s">
        <v>46</v>
      </c>
      <c r="D805" s="58" t="s">
        <v>47</v>
      </c>
      <c r="E805" s="59" t="s">
        <v>635</v>
      </c>
      <c r="F805" s="437">
        <f>ROUND(25,15)</f>
        <v>25</v>
      </c>
      <c r="G805" s="437">
        <f t="shared" si="142"/>
        <v>15.173026976850018</v>
      </c>
      <c r="H805" s="439">
        <f t="shared" si="143"/>
        <v>379.32567442125003</v>
      </c>
      <c r="I805" s="520">
        <v>18.21</v>
      </c>
    </row>
    <row r="806" spans="1:9" ht="26.1" customHeight="1" thickBot="1">
      <c r="A806" s="92">
        <v>92311</v>
      </c>
      <c r="B806" s="93" t="s">
        <v>45</v>
      </c>
      <c r="C806" s="58" t="s">
        <v>46</v>
      </c>
      <c r="D806" s="58" t="s">
        <v>47</v>
      </c>
      <c r="E806" s="59" t="s">
        <v>636</v>
      </c>
      <c r="F806" s="437">
        <f>ROUND(1,15)</f>
        <v>1</v>
      </c>
      <c r="G806" s="437">
        <f t="shared" si="142"/>
        <v>8.2905886007500094</v>
      </c>
      <c r="H806" s="439">
        <f t="shared" si="143"/>
        <v>8.2905886007500094</v>
      </c>
      <c r="I806" s="520">
        <v>9.9499999999999993</v>
      </c>
    </row>
    <row r="807" spans="1:9" ht="26.1" customHeight="1" thickBot="1">
      <c r="A807" s="92">
        <v>93122</v>
      </c>
      <c r="B807" s="93" t="s">
        <v>45</v>
      </c>
      <c r="C807" s="58" t="s">
        <v>46</v>
      </c>
      <c r="D807" s="58" t="s">
        <v>47</v>
      </c>
      <c r="E807" s="59" t="s">
        <v>637</v>
      </c>
      <c r="F807" s="437">
        <f>ROUND(5,15)</f>
        <v>5</v>
      </c>
      <c r="G807" s="437">
        <f t="shared" si="142"/>
        <v>15.91459721350002</v>
      </c>
      <c r="H807" s="439">
        <f t="shared" si="143"/>
        <v>79.572986067500096</v>
      </c>
      <c r="I807" s="520">
        <v>19.100000000000001</v>
      </c>
    </row>
    <row r="808" spans="1:9" ht="26.1" customHeight="1" thickBot="1">
      <c r="A808" s="92">
        <v>93119</v>
      </c>
      <c r="B808" s="93" t="s">
        <v>45</v>
      </c>
      <c r="C808" s="58" t="s">
        <v>46</v>
      </c>
      <c r="D808" s="58" t="s">
        <v>47</v>
      </c>
      <c r="E808" s="59" t="s">
        <v>638</v>
      </c>
      <c r="F808" s="437">
        <f>ROUND(7,15)</f>
        <v>7</v>
      </c>
      <c r="G808" s="437">
        <f t="shared" si="142"/>
        <v>10.940244053050014</v>
      </c>
      <c r="H808" s="439">
        <f t="shared" si="143"/>
        <v>76.581708371350103</v>
      </c>
      <c r="I808" s="520">
        <v>13.13</v>
      </c>
    </row>
    <row r="809" spans="1:9" ht="26.1" customHeight="1" thickBot="1">
      <c r="A809" s="92" t="s">
        <v>639</v>
      </c>
      <c r="B809" s="93" t="s">
        <v>148</v>
      </c>
      <c r="C809" s="58" t="s">
        <v>46</v>
      </c>
      <c r="D809" s="58" t="s">
        <v>47</v>
      </c>
      <c r="E809" s="59" t="s">
        <v>640</v>
      </c>
      <c r="F809" s="437">
        <f>ROUND(11,15)</f>
        <v>11</v>
      </c>
      <c r="G809" s="437">
        <f t="shared" si="142"/>
        <v>13.814870251300015</v>
      </c>
      <c r="H809" s="439">
        <f t="shared" si="143"/>
        <v>151.96357276430001</v>
      </c>
      <c r="I809" s="520">
        <v>16.579999999999998</v>
      </c>
    </row>
    <row r="810" spans="1:9" ht="26.1" customHeight="1" thickBot="1">
      <c r="A810" s="92">
        <v>92295</v>
      </c>
      <c r="B810" s="93" t="s">
        <v>45</v>
      </c>
      <c r="C810" s="58" t="s">
        <v>46</v>
      </c>
      <c r="D810" s="58" t="s">
        <v>47</v>
      </c>
      <c r="E810" s="59" t="s">
        <v>641</v>
      </c>
      <c r="F810" s="437">
        <f>ROUND(2,15)</f>
        <v>2</v>
      </c>
      <c r="G810" s="437">
        <f t="shared" si="142"/>
        <v>19.130845655600023</v>
      </c>
      <c r="H810" s="439">
        <f t="shared" si="143"/>
        <v>38.261691311200003</v>
      </c>
      <c r="I810" s="520">
        <v>22.96</v>
      </c>
    </row>
    <row r="811" spans="1:9" ht="26.1" customHeight="1" thickBot="1">
      <c r="A811" s="96">
        <v>92315</v>
      </c>
      <c r="B811" s="97" t="s">
        <v>45</v>
      </c>
      <c r="C811" s="60" t="s">
        <v>46</v>
      </c>
      <c r="D811" s="60" t="s">
        <v>47</v>
      </c>
      <c r="E811" s="61" t="s">
        <v>642</v>
      </c>
      <c r="F811" s="442">
        <f>ROUND(2,15)</f>
        <v>2</v>
      </c>
      <c r="G811" s="437">
        <f t="shared" si="142"/>
        <v>7.8823083581000102</v>
      </c>
      <c r="H811" s="443">
        <f t="shared" si="143"/>
        <v>15.764616716200001</v>
      </c>
      <c r="I811" s="520">
        <v>9.4600000000000009</v>
      </c>
    </row>
    <row r="812" spans="1:9" ht="15.75" thickTop="1" thickBot="1">
      <c r="A812" s="51"/>
      <c r="B812" s="52"/>
      <c r="C812" s="52"/>
      <c r="D812" s="136"/>
      <c r="E812" s="534" t="s">
        <v>615</v>
      </c>
      <c r="F812" s="391"/>
      <c r="G812" s="392">
        <f>H788+H789+H790+H791+H792+H793+H794+H795+H796+H797+H798+H799+H800+H801+H802+H803+H804+H805+H806+H807+H808+H809+H810+H811</f>
        <v>10551.257468217686</v>
      </c>
      <c r="H812" s="393">
        <f>ROUND(G812,15)</f>
        <v>10551.2574682177</v>
      </c>
      <c r="I812" s="520"/>
    </row>
    <row r="813" spans="1:9" ht="15.75" thickTop="1" thickBot="1">
      <c r="A813" s="272" t="s">
        <v>643</v>
      </c>
      <c r="B813" s="273"/>
      <c r="C813" s="273" t="s">
        <v>38</v>
      </c>
      <c r="D813" s="274"/>
      <c r="E813" s="353" t="s">
        <v>590</v>
      </c>
      <c r="F813" s="276"/>
      <c r="G813" s="277">
        <f>G815</f>
        <v>1474.2332982103501</v>
      </c>
      <c r="H813" s="278">
        <f>ROUND(G813,15)</f>
        <v>1474.2332982103501</v>
      </c>
      <c r="I813" s="520"/>
    </row>
    <row r="814" spans="1:9" ht="26.1" customHeight="1" thickTop="1" thickBot="1">
      <c r="A814" s="98" t="s">
        <v>644</v>
      </c>
      <c r="B814" s="99" t="s">
        <v>148</v>
      </c>
      <c r="C814" s="70" t="s">
        <v>46</v>
      </c>
      <c r="D814" s="70" t="s">
        <v>47</v>
      </c>
      <c r="E814" s="71" t="s">
        <v>1403</v>
      </c>
      <c r="F814" s="444">
        <f>ROUND(9,15)</f>
        <v>9</v>
      </c>
      <c r="G814" s="437">
        <f t="shared" ref="G814" si="144">I814*(100%-$I$14)</f>
        <v>163.8036998011502</v>
      </c>
      <c r="H814" s="445">
        <f>ROUND(F814*G814,15)</f>
        <v>1474.2332982103501</v>
      </c>
      <c r="I814" s="520">
        <v>196.59</v>
      </c>
    </row>
    <row r="815" spans="1:9" ht="15.75" thickTop="1" thickBot="1">
      <c r="A815" s="75"/>
      <c r="B815" s="76"/>
      <c r="C815" s="76"/>
      <c r="D815" s="77"/>
      <c r="E815" s="501" t="s">
        <v>643</v>
      </c>
      <c r="F815" s="408"/>
      <c r="G815" s="409">
        <f>H814</f>
        <v>1474.2332982103501</v>
      </c>
      <c r="H815" s="410">
        <f>ROUND(G815,15)</f>
        <v>1474.2332982103501</v>
      </c>
      <c r="I815" s="520"/>
    </row>
    <row r="816" spans="1:9" ht="15.75" thickTop="1" thickBot="1">
      <c r="A816" s="272" t="s">
        <v>645</v>
      </c>
      <c r="B816" s="273"/>
      <c r="C816" s="273" t="s">
        <v>38</v>
      </c>
      <c r="D816" s="274"/>
      <c r="E816" s="353" t="s">
        <v>646</v>
      </c>
      <c r="F816" s="276"/>
      <c r="G816" s="277">
        <f>G819</f>
        <v>6360.9978482371607</v>
      </c>
      <c r="H816" s="278">
        <f>ROUND(G816,15)</f>
        <v>6360.9978482371598</v>
      </c>
      <c r="I816" s="520"/>
    </row>
    <row r="817" spans="1:9" ht="69.95" customHeight="1" thickTop="1" thickBot="1">
      <c r="A817" s="90" t="s">
        <v>647</v>
      </c>
      <c r="B817" s="91" t="s">
        <v>57</v>
      </c>
      <c r="C817" s="54" t="s">
        <v>46</v>
      </c>
      <c r="D817" s="54" t="s">
        <v>47</v>
      </c>
      <c r="E817" s="55" t="s">
        <v>648</v>
      </c>
      <c r="F817" s="436">
        <f>ROUND(1,15)</f>
        <v>1</v>
      </c>
      <c r="G817" s="437">
        <f t="shared" ref="G817:G818" si="145">I817*(100%-$I$14)</f>
        <v>5615.8614086513562</v>
      </c>
      <c r="H817" s="438">
        <f>ROUND(F817*G817,15)</f>
        <v>5615.8614086513599</v>
      </c>
      <c r="I817" s="520">
        <v>6739.91</v>
      </c>
    </row>
    <row r="818" spans="1:9" ht="15.95" customHeight="1" thickBot="1">
      <c r="A818" s="102" t="s">
        <v>649</v>
      </c>
      <c r="B818" s="103" t="s">
        <v>57</v>
      </c>
      <c r="C818" s="66" t="s">
        <v>46</v>
      </c>
      <c r="D818" s="66" t="s">
        <v>47</v>
      </c>
      <c r="E818" s="67" t="s">
        <v>650</v>
      </c>
      <c r="F818" s="450">
        <f>ROUND(1,15)</f>
        <v>1</v>
      </c>
      <c r="G818" s="440">
        <f t="shared" si="145"/>
        <v>745.13643958580087</v>
      </c>
      <c r="H818" s="451">
        <f>ROUND(F818*G818,15)</f>
        <v>745.13643958580099</v>
      </c>
      <c r="I818" s="520">
        <v>894.28</v>
      </c>
    </row>
    <row r="819" spans="1:9" ht="15.75" thickTop="1" thickBot="1">
      <c r="A819" s="85"/>
      <c r="B819" s="86"/>
      <c r="C819" s="86"/>
      <c r="D819" s="112"/>
      <c r="E819" s="394" t="s">
        <v>645</v>
      </c>
      <c r="F819" s="395"/>
      <c r="G819" s="396">
        <f>H817+H818</f>
        <v>6360.9978482371607</v>
      </c>
      <c r="H819" s="397">
        <f>ROUND(G819,15)</f>
        <v>6360.9978482371598</v>
      </c>
      <c r="I819" s="520"/>
    </row>
    <row r="820" spans="1:9" ht="15" thickBot="1">
      <c r="A820" s="114"/>
      <c r="B820" s="115"/>
      <c r="C820" s="115"/>
      <c r="D820" s="116"/>
      <c r="E820" s="533" t="s">
        <v>613</v>
      </c>
      <c r="F820" s="412"/>
      <c r="G820" s="413">
        <f>H812+H815+H819</f>
        <v>18386.48861466521</v>
      </c>
      <c r="H820" s="414">
        <f>ROUND(G820,15)</f>
        <v>18386.488614665199</v>
      </c>
      <c r="I820" s="520"/>
    </row>
    <row r="821" spans="1:9" ht="15.75" thickTop="1" thickBot="1">
      <c r="A821" s="279" t="s">
        <v>651</v>
      </c>
      <c r="B821" s="280"/>
      <c r="C821" s="280" t="s">
        <v>38</v>
      </c>
      <c r="D821" s="281"/>
      <c r="E821" s="354" t="s">
        <v>652</v>
      </c>
      <c r="F821" s="283"/>
      <c r="G821" s="284">
        <f>G871</f>
        <v>66424.364597268519</v>
      </c>
      <c r="H821" s="285">
        <f>ROUND(G821,15)</f>
        <v>66424.364597268504</v>
      </c>
      <c r="I821" s="520"/>
    </row>
    <row r="822" spans="1:9" ht="15" thickBot="1">
      <c r="A822" s="265" t="s">
        <v>653</v>
      </c>
      <c r="B822" s="266"/>
      <c r="C822" s="266" t="s">
        <v>38</v>
      </c>
      <c r="D822" s="267"/>
      <c r="E822" s="352" t="s">
        <v>654</v>
      </c>
      <c r="F822" s="269"/>
      <c r="G822" s="270">
        <f>G830</f>
        <v>4426.2365180798843</v>
      </c>
      <c r="H822" s="271">
        <f>ROUND(G822,15)</f>
        <v>4426.2365180798797</v>
      </c>
      <c r="I822" s="520"/>
    </row>
    <row r="823" spans="1:9" ht="36" customHeight="1" thickTop="1" thickBot="1">
      <c r="A823" s="90">
        <v>90697</v>
      </c>
      <c r="B823" s="91" t="s">
        <v>45</v>
      </c>
      <c r="C823" s="54" t="s">
        <v>46</v>
      </c>
      <c r="D823" s="54" t="s">
        <v>68</v>
      </c>
      <c r="E823" s="55" t="s">
        <v>655</v>
      </c>
      <c r="F823" s="436">
        <f>ROUND(19.03,15)</f>
        <v>19.03</v>
      </c>
      <c r="G823" s="437">
        <f t="shared" ref="G823:G829" si="146">I823*(100%-$I$14)</f>
        <v>135.46571806130018</v>
      </c>
      <c r="H823" s="438">
        <f t="shared" ref="H823:H829" si="147">ROUND(F823*G823,15)</f>
        <v>2577.9126147065399</v>
      </c>
      <c r="I823" s="520">
        <v>162.58000000000001</v>
      </c>
    </row>
    <row r="824" spans="1:9" ht="36" customHeight="1" thickBot="1">
      <c r="A824" s="92">
        <v>90696</v>
      </c>
      <c r="B824" s="93" t="s">
        <v>45</v>
      </c>
      <c r="C824" s="58" t="s">
        <v>46</v>
      </c>
      <c r="D824" s="58" t="s">
        <v>68</v>
      </c>
      <c r="E824" s="59" t="s">
        <v>656</v>
      </c>
      <c r="F824" s="437">
        <f>ROUND(3.52,15)</f>
        <v>3.52</v>
      </c>
      <c r="G824" s="437">
        <f t="shared" si="146"/>
        <v>80.3645498032501</v>
      </c>
      <c r="H824" s="439">
        <f t="shared" si="147"/>
        <v>282.88321530744003</v>
      </c>
      <c r="I824" s="520">
        <v>96.45</v>
      </c>
    </row>
    <row r="825" spans="1:9" ht="26.1" customHeight="1" thickBot="1">
      <c r="A825" s="92">
        <v>89580</v>
      </c>
      <c r="B825" s="93" t="s">
        <v>45</v>
      </c>
      <c r="C825" s="58" t="s">
        <v>46</v>
      </c>
      <c r="D825" s="58" t="s">
        <v>68</v>
      </c>
      <c r="E825" s="59" t="s">
        <v>657</v>
      </c>
      <c r="F825" s="437">
        <f>ROUND(18.13,15)</f>
        <v>18.13</v>
      </c>
      <c r="G825" s="437">
        <f t="shared" si="146"/>
        <v>67.799517029450087</v>
      </c>
      <c r="H825" s="439">
        <f t="shared" si="147"/>
        <v>1229.2052437439299</v>
      </c>
      <c r="I825" s="520">
        <v>81.37</v>
      </c>
    </row>
    <row r="826" spans="1:9" ht="26.1" customHeight="1" thickBot="1">
      <c r="A826" s="92">
        <v>89509</v>
      </c>
      <c r="B826" s="93" t="s">
        <v>45</v>
      </c>
      <c r="C826" s="58" t="s">
        <v>46</v>
      </c>
      <c r="D826" s="58" t="s">
        <v>68</v>
      </c>
      <c r="E826" s="59" t="s">
        <v>658</v>
      </c>
      <c r="F826" s="437">
        <f>ROUND(13.35,15)</f>
        <v>13.35</v>
      </c>
      <c r="G826" s="437">
        <f t="shared" si="146"/>
        <v>22.080462102500025</v>
      </c>
      <c r="H826" s="439">
        <f t="shared" si="147"/>
        <v>294.77416906837499</v>
      </c>
      <c r="I826" s="520">
        <v>26.5</v>
      </c>
    </row>
    <row r="827" spans="1:9" ht="26.1" customHeight="1" thickBot="1">
      <c r="A827" s="92">
        <v>89518</v>
      </c>
      <c r="B827" s="93" t="s">
        <v>45</v>
      </c>
      <c r="C827" s="58" t="s">
        <v>46</v>
      </c>
      <c r="D827" s="58" t="s">
        <v>47</v>
      </c>
      <c r="E827" s="59" t="s">
        <v>659</v>
      </c>
      <c r="F827" s="437">
        <f>ROUND(2,15)</f>
        <v>2</v>
      </c>
      <c r="G827" s="437">
        <f t="shared" si="146"/>
        <v>10.931911803200013</v>
      </c>
      <c r="H827" s="439">
        <f t="shared" si="147"/>
        <v>21.8638236064</v>
      </c>
      <c r="I827" s="520">
        <v>13.12</v>
      </c>
    </row>
    <row r="828" spans="1:9" ht="26.1" customHeight="1" thickBot="1">
      <c r="A828" s="92">
        <v>89520</v>
      </c>
      <c r="B828" s="93" t="s">
        <v>45</v>
      </c>
      <c r="C828" s="58" t="s">
        <v>46</v>
      </c>
      <c r="D828" s="58" t="s">
        <v>47</v>
      </c>
      <c r="E828" s="59" t="s">
        <v>660</v>
      </c>
      <c r="F828" s="437">
        <f>ROUND(1,15)</f>
        <v>1</v>
      </c>
      <c r="G828" s="437">
        <f t="shared" si="146"/>
        <v>9.5570905779500119</v>
      </c>
      <c r="H828" s="439">
        <f t="shared" si="147"/>
        <v>9.5570905779500102</v>
      </c>
      <c r="I828" s="520">
        <v>11.47</v>
      </c>
    </row>
    <row r="829" spans="1:9" ht="26.1" customHeight="1" thickBot="1">
      <c r="A829" s="96">
        <v>89709</v>
      </c>
      <c r="B829" s="97" t="s">
        <v>45</v>
      </c>
      <c r="C829" s="60" t="s">
        <v>46</v>
      </c>
      <c r="D829" s="60" t="s">
        <v>47</v>
      </c>
      <c r="E829" s="61" t="s">
        <v>661</v>
      </c>
      <c r="F829" s="442">
        <f>ROUND(1,15)</f>
        <v>1</v>
      </c>
      <c r="G829" s="437">
        <f t="shared" si="146"/>
        <v>10.040361069250013</v>
      </c>
      <c r="H829" s="443">
        <f t="shared" si="147"/>
        <v>10.04036106925</v>
      </c>
      <c r="I829" s="520">
        <v>12.05</v>
      </c>
    </row>
    <row r="830" spans="1:9" ht="15.75" thickTop="1" thickBot="1">
      <c r="A830" s="44"/>
      <c r="B830" s="45"/>
      <c r="C830" s="45"/>
      <c r="D830" s="46"/>
      <c r="E830" s="524" t="s">
        <v>653</v>
      </c>
      <c r="F830" s="387"/>
      <c r="G830" s="388">
        <f>H823+H824+H825+H826+H827+H828+H829</f>
        <v>4426.2365180798843</v>
      </c>
      <c r="H830" s="389">
        <f>ROUND(G830,15)</f>
        <v>4426.2365180798797</v>
      </c>
      <c r="I830" s="520"/>
    </row>
    <row r="831" spans="1:9" ht="15.75" thickTop="1" thickBot="1">
      <c r="A831" s="272" t="s">
        <v>662</v>
      </c>
      <c r="B831" s="273"/>
      <c r="C831" s="273" t="s">
        <v>38</v>
      </c>
      <c r="D831" s="274"/>
      <c r="E831" s="353" t="s">
        <v>663</v>
      </c>
      <c r="F831" s="276"/>
      <c r="G831" s="277">
        <f>G833</f>
        <v>82.039332023100101</v>
      </c>
      <c r="H831" s="278">
        <f>ROUND(G831,15)</f>
        <v>82.039332023100101</v>
      </c>
      <c r="I831" s="520"/>
    </row>
    <row r="832" spans="1:9" ht="15.75" thickTop="1" thickBot="1">
      <c r="A832" s="109">
        <v>72285</v>
      </c>
      <c r="B832" s="110" t="s">
        <v>45</v>
      </c>
      <c r="C832" s="89" t="s">
        <v>46</v>
      </c>
      <c r="D832" s="89" t="s">
        <v>47</v>
      </c>
      <c r="E832" s="108" t="s">
        <v>664</v>
      </c>
      <c r="F832" s="513">
        <f>ROUND(1,15)</f>
        <v>1</v>
      </c>
      <c r="G832" s="440">
        <f t="shared" ref="G832" si="148">I832*(100%-$I$14)</f>
        <v>82.039332023100087</v>
      </c>
      <c r="H832" s="514">
        <f>ROUND(F832*G832,15)</f>
        <v>82.039332023100101</v>
      </c>
      <c r="I832" s="520">
        <v>98.46</v>
      </c>
    </row>
    <row r="833" spans="1:9" ht="15.75" thickTop="1" thickBot="1">
      <c r="A833" s="51"/>
      <c r="B833" s="52"/>
      <c r="C833" s="52"/>
      <c r="D833" s="136"/>
      <c r="E833" s="524" t="s">
        <v>662</v>
      </c>
      <c r="F833" s="387"/>
      <c r="G833" s="388">
        <f>H832</f>
        <v>82.039332023100101</v>
      </c>
      <c r="H833" s="389">
        <f>ROUND(G833,15)</f>
        <v>82.039332023100101</v>
      </c>
      <c r="I833" s="520"/>
    </row>
    <row r="834" spans="1:9" ht="15.75" thickTop="1" thickBot="1">
      <c r="A834" s="272" t="s">
        <v>665</v>
      </c>
      <c r="B834" s="273"/>
      <c r="C834" s="273" t="s">
        <v>38</v>
      </c>
      <c r="D834" s="274"/>
      <c r="E834" s="353" t="s">
        <v>666</v>
      </c>
      <c r="F834" s="276"/>
      <c r="G834" s="277">
        <f>G839</f>
        <v>9414.440794068043</v>
      </c>
      <c r="H834" s="278">
        <f>ROUND(G834,15)</f>
        <v>9414.4407940680394</v>
      </c>
      <c r="I834" s="520"/>
    </row>
    <row r="835" spans="1:9" ht="26.1" customHeight="1" thickTop="1" thickBot="1">
      <c r="A835" s="90" t="s">
        <v>667</v>
      </c>
      <c r="B835" s="91" t="s">
        <v>148</v>
      </c>
      <c r="C835" s="54" t="s">
        <v>46</v>
      </c>
      <c r="D835" s="54" t="s">
        <v>68</v>
      </c>
      <c r="E835" s="55" t="s">
        <v>1404</v>
      </c>
      <c r="F835" s="436">
        <f>ROUND(3.3,15)</f>
        <v>3.3</v>
      </c>
      <c r="G835" s="437">
        <f t="shared" ref="G835:G838" si="149">I835*(100%-$I$14)</f>
        <v>279.18036347410032</v>
      </c>
      <c r="H835" s="438">
        <f>ROUND(F835*G835,15)</f>
        <v>921.29519946453104</v>
      </c>
      <c r="I835" s="520">
        <v>335.06</v>
      </c>
    </row>
    <row r="836" spans="1:9" ht="26.1" customHeight="1" thickBot="1">
      <c r="A836" s="92" t="s">
        <v>668</v>
      </c>
      <c r="B836" s="93" t="s">
        <v>57</v>
      </c>
      <c r="C836" s="58" t="s">
        <v>46</v>
      </c>
      <c r="D836" s="58" t="s">
        <v>47</v>
      </c>
      <c r="E836" s="59" t="s">
        <v>1405</v>
      </c>
      <c r="F836" s="437">
        <f>ROUND(1,15)</f>
        <v>1</v>
      </c>
      <c r="G836" s="437">
        <f t="shared" si="149"/>
        <v>7421.1349934022091</v>
      </c>
      <c r="H836" s="439">
        <f>ROUND(F836*G836,15)</f>
        <v>7421.1349934022101</v>
      </c>
      <c r="I836" s="520">
        <v>8906.52</v>
      </c>
    </row>
    <row r="837" spans="1:9" ht="15" thickBot="1">
      <c r="A837" s="94" t="s">
        <v>669</v>
      </c>
      <c r="B837" s="95" t="s">
        <v>57</v>
      </c>
      <c r="C837" s="74" t="s">
        <v>46</v>
      </c>
      <c r="D837" s="74" t="s">
        <v>47</v>
      </c>
      <c r="E837" s="78" t="s">
        <v>670</v>
      </c>
      <c r="F837" s="440">
        <f>ROUND(1,15)</f>
        <v>1</v>
      </c>
      <c r="G837" s="440">
        <f t="shared" si="149"/>
        <v>503.92613867815055</v>
      </c>
      <c r="H837" s="441">
        <f>ROUND(F837*G837,15)</f>
        <v>503.92613867815101</v>
      </c>
      <c r="I837" s="520">
        <v>604.79</v>
      </c>
    </row>
    <row r="838" spans="1:9" ht="15" thickBot="1">
      <c r="A838" s="102" t="s">
        <v>671</v>
      </c>
      <c r="B838" s="103" t="s">
        <v>57</v>
      </c>
      <c r="C838" s="66" t="s">
        <v>46</v>
      </c>
      <c r="D838" s="66" t="s">
        <v>47</v>
      </c>
      <c r="E838" s="67" t="s">
        <v>672</v>
      </c>
      <c r="F838" s="450">
        <f>ROUND(1,15)</f>
        <v>1</v>
      </c>
      <c r="G838" s="440">
        <f t="shared" si="149"/>
        <v>568.08446252315059</v>
      </c>
      <c r="H838" s="451">
        <f>ROUND(F838*G838,15)</f>
        <v>568.08446252315105</v>
      </c>
      <c r="I838" s="520">
        <v>681.79</v>
      </c>
    </row>
    <row r="839" spans="1:9" ht="15.75" thickTop="1" thickBot="1">
      <c r="A839" s="51"/>
      <c r="B839" s="52"/>
      <c r="C839" s="52"/>
      <c r="D839" s="136"/>
      <c r="E839" s="524" t="s">
        <v>665</v>
      </c>
      <c r="F839" s="387"/>
      <c r="G839" s="388">
        <f>H835+H836+H837+H838</f>
        <v>9414.440794068043</v>
      </c>
      <c r="H839" s="389">
        <f>ROUND(G839,15)</f>
        <v>9414.4407940680394</v>
      </c>
      <c r="I839" s="520"/>
    </row>
    <row r="840" spans="1:9" ht="15.75" thickTop="1" thickBot="1">
      <c r="A840" s="272" t="s">
        <v>673</v>
      </c>
      <c r="B840" s="273"/>
      <c r="C840" s="273" t="s">
        <v>38</v>
      </c>
      <c r="D840" s="274"/>
      <c r="E840" s="353" t="s">
        <v>674</v>
      </c>
      <c r="F840" s="276"/>
      <c r="G840" s="277">
        <f>G870</f>
        <v>52501.64795309749</v>
      </c>
      <c r="H840" s="278">
        <f>ROUND(G840,15)</f>
        <v>52501.647953097498</v>
      </c>
      <c r="I840" s="520"/>
    </row>
    <row r="841" spans="1:9" ht="15.75" thickTop="1" thickBot="1">
      <c r="A841" s="100" t="s">
        <v>675</v>
      </c>
      <c r="B841" s="101" t="s">
        <v>57</v>
      </c>
      <c r="C841" s="64" t="s">
        <v>46</v>
      </c>
      <c r="D841" s="64" t="s">
        <v>47</v>
      </c>
      <c r="E841" s="65" t="s">
        <v>676</v>
      </c>
      <c r="F841" s="446">
        <f>ROUND(5,15)</f>
        <v>5</v>
      </c>
      <c r="G841" s="440">
        <f t="shared" ref="G841:G869" si="150">I841*(100%-$I$14)</f>
        <v>1695.3962059789019</v>
      </c>
      <c r="H841" s="447">
        <f t="shared" ref="H841:H869" si="151">ROUND(F841*G841,15)</f>
        <v>8476.9810298945104</v>
      </c>
      <c r="I841" s="520">
        <v>2034.74</v>
      </c>
    </row>
    <row r="842" spans="1:9" ht="15" thickBot="1">
      <c r="A842" s="94" t="s">
        <v>677</v>
      </c>
      <c r="B842" s="95" t="s">
        <v>57</v>
      </c>
      <c r="C842" s="74" t="s">
        <v>46</v>
      </c>
      <c r="D842" s="74" t="s">
        <v>47</v>
      </c>
      <c r="E842" s="78" t="s">
        <v>678</v>
      </c>
      <c r="F842" s="440">
        <f>ROUND(2,15)</f>
        <v>2</v>
      </c>
      <c r="G842" s="440">
        <f t="shared" si="150"/>
        <v>2723.445856971603</v>
      </c>
      <c r="H842" s="441">
        <f t="shared" si="151"/>
        <v>5446.8917139432097</v>
      </c>
      <c r="I842" s="520">
        <v>3268.56</v>
      </c>
    </row>
    <row r="843" spans="1:9" ht="15" thickBot="1">
      <c r="A843" s="94" t="s">
        <v>679</v>
      </c>
      <c r="B843" s="95" t="s">
        <v>57</v>
      </c>
      <c r="C843" s="74" t="s">
        <v>46</v>
      </c>
      <c r="D843" s="74" t="s">
        <v>47</v>
      </c>
      <c r="E843" s="78" t="s">
        <v>680</v>
      </c>
      <c r="F843" s="440">
        <f>ROUND(5,15)</f>
        <v>5</v>
      </c>
      <c r="G843" s="440">
        <f t="shared" si="150"/>
        <v>291.09548075960038</v>
      </c>
      <c r="H843" s="441">
        <f t="shared" si="151"/>
        <v>1455.4774037980001</v>
      </c>
      <c r="I843" s="520">
        <v>349.36</v>
      </c>
    </row>
    <row r="844" spans="1:9" ht="15" thickBot="1">
      <c r="A844" s="94" t="s">
        <v>681</v>
      </c>
      <c r="B844" s="95" t="s">
        <v>57</v>
      </c>
      <c r="C844" s="74" t="s">
        <v>46</v>
      </c>
      <c r="D844" s="74" t="s">
        <v>47</v>
      </c>
      <c r="E844" s="78" t="s">
        <v>682</v>
      </c>
      <c r="F844" s="440">
        <f>ROUND(4,15)</f>
        <v>4</v>
      </c>
      <c r="G844" s="440">
        <f t="shared" si="150"/>
        <v>346.85489675580038</v>
      </c>
      <c r="H844" s="441">
        <f t="shared" si="151"/>
        <v>1387.4195870231999</v>
      </c>
      <c r="I844" s="520">
        <v>416.28</v>
      </c>
    </row>
    <row r="845" spans="1:9" ht="15" thickBot="1">
      <c r="A845" s="94" t="s">
        <v>683</v>
      </c>
      <c r="B845" s="95" t="s">
        <v>57</v>
      </c>
      <c r="C845" s="74" t="s">
        <v>46</v>
      </c>
      <c r="D845" s="74" t="s">
        <v>47</v>
      </c>
      <c r="E845" s="78" t="s">
        <v>684</v>
      </c>
      <c r="F845" s="440">
        <f>ROUND(9,15)</f>
        <v>9</v>
      </c>
      <c r="G845" s="440">
        <f t="shared" si="150"/>
        <v>388.47448475655045</v>
      </c>
      <c r="H845" s="441">
        <f t="shared" si="151"/>
        <v>3496.2703628089498</v>
      </c>
      <c r="I845" s="520">
        <v>466.23</v>
      </c>
    </row>
    <row r="846" spans="1:9" ht="15" thickBot="1">
      <c r="A846" s="94" t="s">
        <v>685</v>
      </c>
      <c r="B846" s="95" t="s">
        <v>57</v>
      </c>
      <c r="C846" s="74" t="s">
        <v>46</v>
      </c>
      <c r="D846" s="74" t="s">
        <v>47</v>
      </c>
      <c r="E846" s="78" t="s">
        <v>686</v>
      </c>
      <c r="F846" s="440">
        <f>ROUND(21,15)</f>
        <v>21</v>
      </c>
      <c r="G846" s="440">
        <f t="shared" si="150"/>
        <v>571.49235271180066</v>
      </c>
      <c r="H846" s="441">
        <f t="shared" si="151"/>
        <v>12001.3394069478</v>
      </c>
      <c r="I846" s="520">
        <v>685.88</v>
      </c>
    </row>
    <row r="847" spans="1:9" ht="15" thickBot="1">
      <c r="A847" s="94" t="s">
        <v>687</v>
      </c>
      <c r="B847" s="95" t="s">
        <v>57</v>
      </c>
      <c r="C847" s="74" t="s">
        <v>46</v>
      </c>
      <c r="D847" s="74" t="s">
        <v>47</v>
      </c>
      <c r="E847" s="78" t="s">
        <v>688</v>
      </c>
      <c r="F847" s="440">
        <f>ROUND(2,15)</f>
        <v>2</v>
      </c>
      <c r="G847" s="440">
        <f t="shared" si="150"/>
        <v>528.78957223055056</v>
      </c>
      <c r="H847" s="441">
        <f t="shared" si="151"/>
        <v>1057.5791444611</v>
      </c>
      <c r="I847" s="520">
        <v>634.63</v>
      </c>
    </row>
    <row r="848" spans="1:9" ht="15" thickBot="1">
      <c r="A848" s="94" t="s">
        <v>689</v>
      </c>
      <c r="B848" s="95" t="s">
        <v>57</v>
      </c>
      <c r="C848" s="74" t="s">
        <v>46</v>
      </c>
      <c r="D848" s="74" t="s">
        <v>47</v>
      </c>
      <c r="E848" s="78" t="s">
        <v>690</v>
      </c>
      <c r="F848" s="440">
        <f>ROUND(2,15)</f>
        <v>2</v>
      </c>
      <c r="G848" s="440">
        <f t="shared" si="150"/>
        <v>66.941295294900087</v>
      </c>
      <c r="H848" s="441">
        <f t="shared" si="151"/>
        <v>133.8825905898</v>
      </c>
      <c r="I848" s="520">
        <v>80.34</v>
      </c>
    </row>
    <row r="849" spans="1:9" ht="15" thickBot="1">
      <c r="A849" s="94" t="s">
        <v>691</v>
      </c>
      <c r="B849" s="95" t="s">
        <v>57</v>
      </c>
      <c r="C849" s="74" t="s">
        <v>46</v>
      </c>
      <c r="D849" s="74" t="s">
        <v>47</v>
      </c>
      <c r="E849" s="78" t="s">
        <v>692</v>
      </c>
      <c r="F849" s="440">
        <f>ROUND(3,15)</f>
        <v>3</v>
      </c>
      <c r="G849" s="440">
        <f t="shared" si="150"/>
        <v>103.66152038385012</v>
      </c>
      <c r="H849" s="441">
        <f t="shared" si="151"/>
        <v>310.98456115155</v>
      </c>
      <c r="I849" s="520">
        <v>124.41</v>
      </c>
    </row>
    <row r="850" spans="1:9" ht="15" thickBot="1">
      <c r="A850" s="102" t="s">
        <v>693</v>
      </c>
      <c r="B850" s="103" t="s">
        <v>57</v>
      </c>
      <c r="C850" s="66" t="s">
        <v>46</v>
      </c>
      <c r="D850" s="66" t="s">
        <v>47</v>
      </c>
      <c r="E850" s="67" t="s">
        <v>694</v>
      </c>
      <c r="F850" s="450">
        <f>ROUND(1,15)</f>
        <v>1</v>
      </c>
      <c r="G850" s="450">
        <f t="shared" si="150"/>
        <v>101.26183242705012</v>
      </c>
      <c r="H850" s="451">
        <f t="shared" si="151"/>
        <v>101.26183242705</v>
      </c>
      <c r="I850" s="520">
        <v>121.53</v>
      </c>
    </row>
    <row r="851" spans="1:9" ht="15.75" thickTop="1" thickBot="1">
      <c r="A851" s="100" t="s">
        <v>695</v>
      </c>
      <c r="B851" s="101" t="s">
        <v>57</v>
      </c>
      <c r="C851" s="64" t="s">
        <v>46</v>
      </c>
      <c r="D851" s="64" t="s">
        <v>47</v>
      </c>
      <c r="E851" s="65" t="s">
        <v>696</v>
      </c>
      <c r="F851" s="446">
        <f>ROUND(2,15)</f>
        <v>2</v>
      </c>
      <c r="G851" s="446">
        <f t="shared" si="150"/>
        <v>119.79275609345015</v>
      </c>
      <c r="H851" s="447">
        <f t="shared" si="151"/>
        <v>239.58551218689999</v>
      </c>
      <c r="I851" s="520">
        <v>143.77000000000001</v>
      </c>
    </row>
    <row r="852" spans="1:9" ht="15" thickBot="1">
      <c r="A852" s="94" t="s">
        <v>697</v>
      </c>
      <c r="B852" s="95" t="s">
        <v>57</v>
      </c>
      <c r="C852" s="74" t="s">
        <v>46</v>
      </c>
      <c r="D852" s="74" t="s">
        <v>47</v>
      </c>
      <c r="E852" s="78" t="s">
        <v>698</v>
      </c>
      <c r="F852" s="440">
        <f>ROUND(1,15)</f>
        <v>1</v>
      </c>
      <c r="G852" s="440">
        <f t="shared" si="150"/>
        <v>117.80968062915012</v>
      </c>
      <c r="H852" s="441">
        <f t="shared" si="151"/>
        <v>117.80968062914999</v>
      </c>
      <c r="I852" s="520">
        <v>141.38999999999999</v>
      </c>
    </row>
    <row r="853" spans="1:9" ht="15" thickBot="1">
      <c r="A853" s="94" t="s">
        <v>699</v>
      </c>
      <c r="B853" s="95" t="s">
        <v>57</v>
      </c>
      <c r="C853" s="74" t="s">
        <v>46</v>
      </c>
      <c r="D853" s="74" t="s">
        <v>47</v>
      </c>
      <c r="E853" s="78" t="s">
        <v>700</v>
      </c>
      <c r="F853" s="440">
        <f>ROUND(4,15)</f>
        <v>4</v>
      </c>
      <c r="G853" s="440">
        <f t="shared" si="150"/>
        <v>47.160534151000057</v>
      </c>
      <c r="H853" s="441">
        <f t="shared" si="151"/>
        <v>188.642136604</v>
      </c>
      <c r="I853" s="520">
        <v>56.6</v>
      </c>
    </row>
    <row r="854" spans="1:9" ht="15" thickBot="1">
      <c r="A854" s="94" t="s">
        <v>701</v>
      </c>
      <c r="B854" s="95" t="s">
        <v>57</v>
      </c>
      <c r="C854" s="74" t="s">
        <v>46</v>
      </c>
      <c r="D854" s="74" t="s">
        <v>47</v>
      </c>
      <c r="E854" s="78" t="s">
        <v>702</v>
      </c>
      <c r="F854" s="440">
        <f>ROUND(3,15)</f>
        <v>3</v>
      </c>
      <c r="G854" s="440">
        <f t="shared" si="150"/>
        <v>76.398398874650084</v>
      </c>
      <c r="H854" s="441">
        <f t="shared" si="151"/>
        <v>229.19519662395001</v>
      </c>
      <c r="I854" s="520">
        <v>91.69</v>
      </c>
    </row>
    <row r="855" spans="1:9" ht="15" thickBot="1">
      <c r="A855" s="94" t="s">
        <v>703</v>
      </c>
      <c r="B855" s="95" t="s">
        <v>57</v>
      </c>
      <c r="C855" s="74" t="s">
        <v>46</v>
      </c>
      <c r="D855" s="74" t="s">
        <v>47</v>
      </c>
      <c r="E855" s="78" t="s">
        <v>704</v>
      </c>
      <c r="F855" s="440">
        <f>ROUND(7,15)</f>
        <v>7</v>
      </c>
      <c r="G855" s="440">
        <f t="shared" si="150"/>
        <v>84.464016729450108</v>
      </c>
      <c r="H855" s="441">
        <f t="shared" si="151"/>
        <v>591.24811710615097</v>
      </c>
      <c r="I855" s="520">
        <v>101.37</v>
      </c>
    </row>
    <row r="856" spans="1:9" ht="15" thickBot="1">
      <c r="A856" s="94" t="s">
        <v>705</v>
      </c>
      <c r="B856" s="95" t="s">
        <v>57</v>
      </c>
      <c r="C856" s="74" t="s">
        <v>46</v>
      </c>
      <c r="D856" s="74" t="s">
        <v>47</v>
      </c>
      <c r="E856" s="78" t="s">
        <v>706</v>
      </c>
      <c r="F856" s="440">
        <f>ROUND(18,15)</f>
        <v>18</v>
      </c>
      <c r="G856" s="440">
        <f t="shared" si="150"/>
        <v>115.47665067115014</v>
      </c>
      <c r="H856" s="441">
        <f t="shared" si="151"/>
        <v>2078.5797120807001</v>
      </c>
      <c r="I856" s="520">
        <v>138.59</v>
      </c>
    </row>
    <row r="857" spans="1:9" ht="15" thickBot="1">
      <c r="A857" s="94" t="s">
        <v>707</v>
      </c>
      <c r="B857" s="95" t="s">
        <v>57</v>
      </c>
      <c r="C857" s="74" t="s">
        <v>46</v>
      </c>
      <c r="D857" s="74" t="s">
        <v>47</v>
      </c>
      <c r="E857" s="78" t="s">
        <v>708</v>
      </c>
      <c r="F857" s="440">
        <f>ROUND(5,15)</f>
        <v>5</v>
      </c>
      <c r="G857" s="440">
        <f t="shared" si="150"/>
        <v>149.58054930720019</v>
      </c>
      <c r="H857" s="441">
        <f t="shared" si="151"/>
        <v>747.90274653600102</v>
      </c>
      <c r="I857" s="520">
        <v>179.52</v>
      </c>
    </row>
    <row r="858" spans="1:9" ht="15" thickBot="1">
      <c r="A858" s="94" t="s">
        <v>709</v>
      </c>
      <c r="B858" s="95" t="s">
        <v>57</v>
      </c>
      <c r="C858" s="74" t="s">
        <v>46</v>
      </c>
      <c r="D858" s="74" t="s">
        <v>47</v>
      </c>
      <c r="E858" s="78" t="s">
        <v>710</v>
      </c>
      <c r="F858" s="440">
        <f>ROUND(5,15)</f>
        <v>5</v>
      </c>
      <c r="G858" s="440">
        <f t="shared" si="150"/>
        <v>105.95288909260012</v>
      </c>
      <c r="H858" s="441">
        <f t="shared" si="151"/>
        <v>529.76444546300104</v>
      </c>
      <c r="I858" s="520">
        <v>127.16</v>
      </c>
    </row>
    <row r="859" spans="1:9" ht="15" thickBot="1">
      <c r="A859" s="94" t="s">
        <v>711</v>
      </c>
      <c r="B859" s="95" t="s">
        <v>57</v>
      </c>
      <c r="C859" s="74" t="s">
        <v>46</v>
      </c>
      <c r="D859" s="74" t="s">
        <v>47</v>
      </c>
      <c r="E859" s="78" t="s">
        <v>712</v>
      </c>
      <c r="F859" s="440">
        <f>ROUND(2,15)</f>
        <v>2</v>
      </c>
      <c r="G859" s="440">
        <f t="shared" si="150"/>
        <v>73.273805180900084</v>
      </c>
      <c r="H859" s="441">
        <f t="shared" si="151"/>
        <v>146.5476103618</v>
      </c>
      <c r="I859" s="520">
        <v>87.94</v>
      </c>
    </row>
    <row r="860" spans="1:9" ht="15" thickBot="1">
      <c r="A860" s="94" t="s">
        <v>713</v>
      </c>
      <c r="B860" s="95" t="s">
        <v>57</v>
      </c>
      <c r="C860" s="74" t="s">
        <v>46</v>
      </c>
      <c r="D860" s="74" t="s">
        <v>47</v>
      </c>
      <c r="E860" s="78" t="s">
        <v>714</v>
      </c>
      <c r="F860" s="440">
        <f>ROUND(2,15)</f>
        <v>2</v>
      </c>
      <c r="G860" s="440">
        <f t="shared" si="150"/>
        <v>140.31508747400017</v>
      </c>
      <c r="H860" s="441">
        <f t="shared" si="151"/>
        <v>280.63017494799999</v>
      </c>
      <c r="I860" s="520">
        <v>168.4</v>
      </c>
    </row>
    <row r="861" spans="1:9" ht="15" thickBot="1">
      <c r="A861" s="94" t="s">
        <v>715</v>
      </c>
      <c r="B861" s="95" t="s">
        <v>57</v>
      </c>
      <c r="C861" s="74" t="s">
        <v>46</v>
      </c>
      <c r="D861" s="74" t="s">
        <v>47</v>
      </c>
      <c r="E861" s="78" t="s">
        <v>716</v>
      </c>
      <c r="F861" s="440">
        <f>ROUND(2,15)</f>
        <v>2</v>
      </c>
      <c r="G861" s="440">
        <f t="shared" si="150"/>
        <v>310.25132316475037</v>
      </c>
      <c r="H861" s="441">
        <f t="shared" si="151"/>
        <v>620.50264632950098</v>
      </c>
      <c r="I861" s="520">
        <v>372.35</v>
      </c>
    </row>
    <row r="862" spans="1:9" ht="15" thickBot="1">
      <c r="A862" s="94" t="s">
        <v>717</v>
      </c>
      <c r="B862" s="95" t="s">
        <v>57</v>
      </c>
      <c r="C862" s="74" t="s">
        <v>46</v>
      </c>
      <c r="D862" s="74" t="s">
        <v>47</v>
      </c>
      <c r="E862" s="78" t="s">
        <v>718</v>
      </c>
      <c r="F862" s="440">
        <f>ROUND(2,15)</f>
        <v>2</v>
      </c>
      <c r="G862" s="440">
        <f t="shared" si="150"/>
        <v>447.21684619905056</v>
      </c>
      <c r="H862" s="441">
        <f t="shared" si="151"/>
        <v>894.43369239810102</v>
      </c>
      <c r="I862" s="520">
        <v>536.73</v>
      </c>
    </row>
    <row r="863" spans="1:9" ht="15" thickBot="1">
      <c r="A863" s="94" t="s">
        <v>719</v>
      </c>
      <c r="B863" s="95" t="s">
        <v>57</v>
      </c>
      <c r="C863" s="74" t="s">
        <v>46</v>
      </c>
      <c r="D863" s="74" t="s">
        <v>47</v>
      </c>
      <c r="E863" s="78" t="s">
        <v>720</v>
      </c>
      <c r="F863" s="440">
        <f>ROUND(2,15)</f>
        <v>2</v>
      </c>
      <c r="G863" s="440">
        <f t="shared" si="150"/>
        <v>322.94133968630035</v>
      </c>
      <c r="H863" s="441">
        <f t="shared" si="151"/>
        <v>645.88267937260105</v>
      </c>
      <c r="I863" s="520">
        <v>387.58</v>
      </c>
    </row>
    <row r="864" spans="1:9" ht="15" thickBot="1">
      <c r="A864" s="94" t="s">
        <v>721</v>
      </c>
      <c r="B864" s="95" t="s">
        <v>57</v>
      </c>
      <c r="C864" s="74" t="s">
        <v>46</v>
      </c>
      <c r="D864" s="74" t="s">
        <v>47</v>
      </c>
      <c r="E864" s="78" t="s">
        <v>722</v>
      </c>
      <c r="F864" s="440">
        <f>ROUND(19,15)</f>
        <v>19</v>
      </c>
      <c r="G864" s="440">
        <f t="shared" si="150"/>
        <v>21.538865862250027</v>
      </c>
      <c r="H864" s="441">
        <f t="shared" si="151"/>
        <v>409.23845138274999</v>
      </c>
      <c r="I864" s="520">
        <v>25.85</v>
      </c>
    </row>
    <row r="865" spans="1:9" ht="15" thickBot="1">
      <c r="A865" s="94" t="s">
        <v>723</v>
      </c>
      <c r="B865" s="95" t="s">
        <v>57</v>
      </c>
      <c r="C865" s="74" t="s">
        <v>46</v>
      </c>
      <c r="D865" s="74" t="s">
        <v>47</v>
      </c>
      <c r="E865" s="78" t="s">
        <v>724</v>
      </c>
      <c r="F865" s="440">
        <f>ROUND(13,15)</f>
        <v>13</v>
      </c>
      <c r="G865" s="440">
        <f t="shared" si="150"/>
        <v>24.196853564400026</v>
      </c>
      <c r="H865" s="441">
        <f t="shared" si="151"/>
        <v>314.5590963372</v>
      </c>
      <c r="I865" s="520">
        <v>29.04</v>
      </c>
    </row>
    <row r="866" spans="1:9" ht="15" thickBot="1">
      <c r="A866" s="94" t="s">
        <v>725</v>
      </c>
      <c r="B866" s="95" t="s">
        <v>57</v>
      </c>
      <c r="C866" s="74" t="s">
        <v>46</v>
      </c>
      <c r="D866" s="74" t="s">
        <v>47</v>
      </c>
      <c r="E866" s="78" t="s">
        <v>726</v>
      </c>
      <c r="F866" s="440">
        <f>ROUND(19,15)</f>
        <v>19</v>
      </c>
      <c r="G866" s="440">
        <f t="shared" si="150"/>
        <v>30.112750957900037</v>
      </c>
      <c r="H866" s="441">
        <f t="shared" si="151"/>
        <v>572.14226820010094</v>
      </c>
      <c r="I866" s="520">
        <v>36.14</v>
      </c>
    </row>
    <row r="867" spans="1:9" ht="15" thickBot="1">
      <c r="A867" s="94" t="s">
        <v>727</v>
      </c>
      <c r="B867" s="95" t="s">
        <v>57</v>
      </c>
      <c r="C867" s="74" t="s">
        <v>46</v>
      </c>
      <c r="D867" s="74" t="s">
        <v>47</v>
      </c>
      <c r="E867" s="78" t="s">
        <v>728</v>
      </c>
      <c r="F867" s="440">
        <f>ROUND(51,15)</f>
        <v>51</v>
      </c>
      <c r="G867" s="440">
        <f t="shared" si="150"/>
        <v>31.220940187950035</v>
      </c>
      <c r="H867" s="441">
        <f t="shared" si="151"/>
        <v>1592.26794958545</v>
      </c>
      <c r="I867" s="520">
        <v>37.47</v>
      </c>
    </row>
    <row r="868" spans="1:9" ht="15" thickBot="1">
      <c r="A868" s="94" t="s">
        <v>729</v>
      </c>
      <c r="B868" s="95" t="s">
        <v>57</v>
      </c>
      <c r="C868" s="74" t="s">
        <v>46</v>
      </c>
      <c r="D868" s="74" t="s">
        <v>47</v>
      </c>
      <c r="E868" s="78" t="s">
        <v>730</v>
      </c>
      <c r="F868" s="440">
        <f>ROUND(10,15)</f>
        <v>10</v>
      </c>
      <c r="G868" s="440">
        <f t="shared" si="150"/>
        <v>52.201545310250062</v>
      </c>
      <c r="H868" s="441">
        <f t="shared" si="151"/>
        <v>522.01545310250106</v>
      </c>
      <c r="I868" s="520">
        <v>62.65</v>
      </c>
    </row>
    <row r="869" spans="1:9" ht="15" thickBot="1">
      <c r="A869" s="102" t="s">
        <v>731</v>
      </c>
      <c r="B869" s="103" t="s">
        <v>57</v>
      </c>
      <c r="C869" s="66" t="s">
        <v>46</v>
      </c>
      <c r="D869" s="66" t="s">
        <v>47</v>
      </c>
      <c r="E869" s="67" t="s">
        <v>732</v>
      </c>
      <c r="F869" s="450">
        <f>ROUND(221,15)</f>
        <v>221</v>
      </c>
      <c r="G869" s="440">
        <f t="shared" si="150"/>
        <v>35.803677605450041</v>
      </c>
      <c r="H869" s="451">
        <f t="shared" si="151"/>
        <v>7912.6127508044601</v>
      </c>
      <c r="I869" s="520">
        <v>42.97</v>
      </c>
    </row>
    <row r="870" spans="1:9" ht="15.75" thickTop="1" thickBot="1">
      <c r="A870" s="85"/>
      <c r="B870" s="86"/>
      <c r="C870" s="86"/>
      <c r="D870" s="112"/>
      <c r="E870" s="394" t="s">
        <v>673</v>
      </c>
      <c r="F870" s="395"/>
      <c r="G870" s="396">
        <f>H841+H842+H843+H844+H845+H846+H847+H848+H849+H850+H851+H852+H853+H854+H855+H856+H857+H858+H859+H860+H861+H862+H863+H864+H865+H866+H867+H868+H869</f>
        <v>52501.64795309749</v>
      </c>
      <c r="H870" s="397">
        <f>ROUND(G870,15)</f>
        <v>52501.647953097498</v>
      </c>
      <c r="I870" s="520"/>
    </row>
    <row r="871" spans="1:9" ht="15" thickBot="1">
      <c r="A871" s="114"/>
      <c r="B871" s="115"/>
      <c r="C871" s="115"/>
      <c r="D871" s="116"/>
      <c r="E871" s="525" t="s">
        <v>651</v>
      </c>
      <c r="F871" s="526"/>
      <c r="G871" s="527">
        <f>H830+H833+H839+H870</f>
        <v>66424.364597268519</v>
      </c>
      <c r="H871" s="528">
        <f>ROUND(G871,15)</f>
        <v>66424.364597268504</v>
      </c>
      <c r="I871" s="520"/>
    </row>
    <row r="872" spans="1:9" ht="15.75" thickTop="1" thickBot="1">
      <c r="A872" s="279" t="s">
        <v>733</v>
      </c>
      <c r="B872" s="280"/>
      <c r="C872" s="280" t="s">
        <v>38</v>
      </c>
      <c r="D872" s="281"/>
      <c r="E872" s="354" t="s">
        <v>734</v>
      </c>
      <c r="F872" s="283"/>
      <c r="G872" s="284">
        <f>G931</f>
        <v>19007.85198240422</v>
      </c>
      <c r="H872" s="285">
        <f>ROUND(G872,15)</f>
        <v>19007.851982404201</v>
      </c>
      <c r="I872" s="520"/>
    </row>
    <row r="873" spans="1:9" ht="15" thickBot="1">
      <c r="A873" s="265" t="s">
        <v>735</v>
      </c>
      <c r="B873" s="266"/>
      <c r="C873" s="266" t="s">
        <v>38</v>
      </c>
      <c r="D873" s="267"/>
      <c r="E873" s="352" t="s">
        <v>736</v>
      </c>
      <c r="F873" s="269"/>
      <c r="G873" s="270">
        <f>G900</f>
        <v>13335.229621324666</v>
      </c>
      <c r="H873" s="271">
        <f>ROUND(G873,15)</f>
        <v>13335.229621324699</v>
      </c>
      <c r="I873" s="520"/>
    </row>
    <row r="874" spans="1:9" ht="26.1" customHeight="1" thickTop="1" thickBot="1">
      <c r="A874" s="90">
        <v>89711</v>
      </c>
      <c r="B874" s="91" t="s">
        <v>45</v>
      </c>
      <c r="C874" s="54" t="s">
        <v>46</v>
      </c>
      <c r="D874" s="54" t="s">
        <v>68</v>
      </c>
      <c r="E874" s="55" t="s">
        <v>737</v>
      </c>
      <c r="F874" s="436">
        <f>ROUND(153.92,15)</f>
        <v>153.91999999999999</v>
      </c>
      <c r="G874" s="437">
        <f t="shared" ref="G874:G899" si="152">I874*(100%-$I$14)</f>
        <v>14.681424235700018</v>
      </c>
      <c r="H874" s="438">
        <f t="shared" ref="H874:H899" si="153">ROUND(F874*G874,15)</f>
        <v>2259.7648183589499</v>
      </c>
      <c r="I874" s="520">
        <v>17.62</v>
      </c>
    </row>
    <row r="875" spans="1:9" ht="26.1" customHeight="1" thickBot="1">
      <c r="A875" s="92">
        <v>89712</v>
      </c>
      <c r="B875" s="93" t="s">
        <v>45</v>
      </c>
      <c r="C875" s="58" t="s">
        <v>46</v>
      </c>
      <c r="D875" s="58" t="s">
        <v>68</v>
      </c>
      <c r="E875" s="59" t="s">
        <v>738</v>
      </c>
      <c r="F875" s="437">
        <f>ROUND(40.28,15)</f>
        <v>40.28</v>
      </c>
      <c r="G875" s="437">
        <f t="shared" si="152"/>
        <v>22.147120101300025</v>
      </c>
      <c r="H875" s="439">
        <f t="shared" si="153"/>
        <v>892.08599768036504</v>
      </c>
      <c r="I875" s="520">
        <v>26.58</v>
      </c>
    </row>
    <row r="876" spans="1:9" ht="26.1" customHeight="1" thickBot="1">
      <c r="A876" s="92">
        <v>89713</v>
      </c>
      <c r="B876" s="93" t="s">
        <v>45</v>
      </c>
      <c r="C876" s="58" t="s">
        <v>46</v>
      </c>
      <c r="D876" s="58" t="s">
        <v>68</v>
      </c>
      <c r="E876" s="59" t="s">
        <v>739</v>
      </c>
      <c r="F876" s="437">
        <f>ROUND(13.36,15)</f>
        <v>13.36</v>
      </c>
      <c r="G876" s="437">
        <f t="shared" si="152"/>
        <v>33.837266640850039</v>
      </c>
      <c r="H876" s="439">
        <f t="shared" si="153"/>
        <v>452.06588232175699</v>
      </c>
      <c r="I876" s="520">
        <v>40.61</v>
      </c>
    </row>
    <row r="877" spans="1:9" ht="26.1" customHeight="1" thickBot="1">
      <c r="A877" s="92">
        <v>89714</v>
      </c>
      <c r="B877" s="93" t="s">
        <v>45</v>
      </c>
      <c r="C877" s="58" t="s">
        <v>46</v>
      </c>
      <c r="D877" s="58" t="s">
        <v>68</v>
      </c>
      <c r="E877" s="59" t="s">
        <v>740</v>
      </c>
      <c r="F877" s="437">
        <f>ROUND(124.24,15)</f>
        <v>124.24</v>
      </c>
      <c r="G877" s="437">
        <f t="shared" si="152"/>
        <v>43.361028219400048</v>
      </c>
      <c r="H877" s="439">
        <f t="shared" si="153"/>
        <v>5387.1741459782597</v>
      </c>
      <c r="I877" s="520">
        <v>52.04</v>
      </c>
    </row>
    <row r="878" spans="1:9" ht="26.1" customHeight="1" thickBot="1">
      <c r="A878" s="92">
        <v>89811</v>
      </c>
      <c r="B878" s="93" t="s">
        <v>45</v>
      </c>
      <c r="C878" s="58" t="s">
        <v>46</v>
      </c>
      <c r="D878" s="58" t="s">
        <v>47</v>
      </c>
      <c r="E878" s="59" t="s">
        <v>741</v>
      </c>
      <c r="F878" s="437">
        <f>ROUND(8,15)</f>
        <v>8</v>
      </c>
      <c r="G878" s="437">
        <f t="shared" si="152"/>
        <v>25.146730047300029</v>
      </c>
      <c r="H878" s="439">
        <f t="shared" si="153"/>
        <v>201.1738403784</v>
      </c>
      <c r="I878" s="520">
        <v>30.18</v>
      </c>
    </row>
    <row r="879" spans="1:9" ht="26.1" customHeight="1" thickBot="1">
      <c r="A879" s="92">
        <v>89728</v>
      </c>
      <c r="B879" s="93" t="s">
        <v>45</v>
      </c>
      <c r="C879" s="58" t="s">
        <v>46</v>
      </c>
      <c r="D879" s="58" t="s">
        <v>47</v>
      </c>
      <c r="E879" s="59" t="s">
        <v>742</v>
      </c>
      <c r="F879" s="437">
        <f>ROUND(39,15)</f>
        <v>39</v>
      </c>
      <c r="G879" s="437">
        <f t="shared" si="152"/>
        <v>8.3239176001500095</v>
      </c>
      <c r="H879" s="439">
        <f t="shared" si="153"/>
        <v>324.63278640585003</v>
      </c>
      <c r="I879" s="520">
        <v>9.99</v>
      </c>
    </row>
    <row r="880" spans="1:9" ht="15" thickBot="1">
      <c r="A880" s="94" t="s">
        <v>743</v>
      </c>
      <c r="B880" s="95" t="s">
        <v>57</v>
      </c>
      <c r="C880" s="74" t="s">
        <v>46</v>
      </c>
      <c r="D880" s="74" t="s">
        <v>47</v>
      </c>
      <c r="E880" s="78" t="s">
        <v>744</v>
      </c>
      <c r="F880" s="440">
        <f>ROUND(6,15)</f>
        <v>6</v>
      </c>
      <c r="G880" s="440">
        <f t="shared" si="152"/>
        <v>6.1658648890000078</v>
      </c>
      <c r="H880" s="441">
        <f t="shared" si="153"/>
        <v>36.995189334000003</v>
      </c>
      <c r="I880" s="520">
        <v>7.4</v>
      </c>
    </row>
    <row r="881" spans="1:9" ht="26.1" customHeight="1" thickBot="1">
      <c r="A881" s="92" t="s">
        <v>745</v>
      </c>
      <c r="B881" s="93" t="s">
        <v>148</v>
      </c>
      <c r="C881" s="58" t="s">
        <v>46</v>
      </c>
      <c r="D881" s="58" t="s">
        <v>47</v>
      </c>
      <c r="E881" s="59" t="s">
        <v>746</v>
      </c>
      <c r="F881" s="437">
        <f>ROUND(6,15)</f>
        <v>6</v>
      </c>
      <c r="G881" s="437">
        <f t="shared" si="152"/>
        <v>5.2326529058000064</v>
      </c>
      <c r="H881" s="439">
        <f t="shared" si="153"/>
        <v>31.395917434800001</v>
      </c>
      <c r="I881" s="520">
        <v>6.28</v>
      </c>
    </row>
    <row r="882" spans="1:9" ht="26.1" customHeight="1" thickBot="1">
      <c r="A882" s="92">
        <v>89746</v>
      </c>
      <c r="B882" s="93" t="s">
        <v>45</v>
      </c>
      <c r="C882" s="58" t="s">
        <v>46</v>
      </c>
      <c r="D882" s="58" t="s">
        <v>47</v>
      </c>
      <c r="E882" s="59" t="s">
        <v>747</v>
      </c>
      <c r="F882" s="437">
        <f>ROUND(8,15)</f>
        <v>8</v>
      </c>
      <c r="G882" s="437">
        <f t="shared" si="152"/>
        <v>18.597581665200021</v>
      </c>
      <c r="H882" s="439">
        <f t="shared" si="153"/>
        <v>148.7806533216</v>
      </c>
      <c r="I882" s="520">
        <v>22.32</v>
      </c>
    </row>
    <row r="883" spans="1:9" ht="26.1" customHeight="1" thickBot="1">
      <c r="A883" s="92">
        <v>89802</v>
      </c>
      <c r="B883" s="93" t="s">
        <v>45</v>
      </c>
      <c r="C883" s="58" t="s">
        <v>46</v>
      </c>
      <c r="D883" s="58" t="s">
        <v>47</v>
      </c>
      <c r="E883" s="59" t="s">
        <v>748</v>
      </c>
      <c r="F883" s="437">
        <f>ROUND(11,15)</f>
        <v>11</v>
      </c>
      <c r="G883" s="437">
        <f t="shared" si="152"/>
        <v>5.7159233971000072</v>
      </c>
      <c r="H883" s="439">
        <f t="shared" si="153"/>
        <v>62.875157368100098</v>
      </c>
      <c r="I883" s="520">
        <v>6.86</v>
      </c>
    </row>
    <row r="884" spans="1:9" ht="26.1" customHeight="1" thickBot="1">
      <c r="A884" s="92">
        <v>89726</v>
      </c>
      <c r="B884" s="93" t="s">
        <v>45</v>
      </c>
      <c r="C884" s="58" t="s">
        <v>46</v>
      </c>
      <c r="D884" s="58" t="s">
        <v>47</v>
      </c>
      <c r="E884" s="59" t="s">
        <v>749</v>
      </c>
      <c r="F884" s="437">
        <f>ROUND(31,15)</f>
        <v>31</v>
      </c>
      <c r="G884" s="437">
        <f t="shared" si="152"/>
        <v>5.7325878968000064</v>
      </c>
      <c r="H884" s="439">
        <f t="shared" si="153"/>
        <v>177.71022480080001</v>
      </c>
      <c r="I884" s="520">
        <v>6.88</v>
      </c>
    </row>
    <row r="885" spans="1:9" ht="26.1" customHeight="1" thickBot="1">
      <c r="A885" s="92">
        <v>89744</v>
      </c>
      <c r="B885" s="93" t="s">
        <v>45</v>
      </c>
      <c r="C885" s="58" t="s">
        <v>46</v>
      </c>
      <c r="D885" s="58" t="s">
        <v>47</v>
      </c>
      <c r="E885" s="59" t="s">
        <v>750</v>
      </c>
      <c r="F885" s="437">
        <f>ROUND(9,15)</f>
        <v>9</v>
      </c>
      <c r="G885" s="437">
        <f t="shared" si="152"/>
        <v>18.639242914450023</v>
      </c>
      <c r="H885" s="439">
        <f t="shared" si="153"/>
        <v>167.75318623005001</v>
      </c>
      <c r="I885" s="520">
        <v>22.37</v>
      </c>
    </row>
    <row r="886" spans="1:9" ht="26.1" customHeight="1" thickBot="1">
      <c r="A886" s="92">
        <v>89731</v>
      </c>
      <c r="B886" s="93" t="s">
        <v>45</v>
      </c>
      <c r="C886" s="58" t="s">
        <v>46</v>
      </c>
      <c r="D886" s="58" t="s">
        <v>47</v>
      </c>
      <c r="E886" s="59" t="s">
        <v>751</v>
      </c>
      <c r="F886" s="437">
        <f>ROUND(17,15)</f>
        <v>17</v>
      </c>
      <c r="G886" s="437">
        <f t="shared" si="152"/>
        <v>8.2572596013500092</v>
      </c>
      <c r="H886" s="439">
        <f t="shared" si="153"/>
        <v>140.37341322295001</v>
      </c>
      <c r="I886" s="520">
        <v>9.91</v>
      </c>
    </row>
    <row r="887" spans="1:9" ht="26.1" customHeight="1" thickBot="1">
      <c r="A887" s="92">
        <v>89724</v>
      </c>
      <c r="B887" s="93" t="s">
        <v>45</v>
      </c>
      <c r="C887" s="58" t="s">
        <v>46</v>
      </c>
      <c r="D887" s="58" t="s">
        <v>47</v>
      </c>
      <c r="E887" s="59" t="s">
        <v>752</v>
      </c>
      <c r="F887" s="437">
        <f>ROUND(15,15)</f>
        <v>15</v>
      </c>
      <c r="G887" s="437">
        <f t="shared" si="152"/>
        <v>7.8073181094500086</v>
      </c>
      <c r="H887" s="439">
        <f t="shared" si="153"/>
        <v>117.10977164175</v>
      </c>
      <c r="I887" s="520">
        <v>9.3699999999999992</v>
      </c>
    </row>
    <row r="888" spans="1:9" ht="15" thickBot="1">
      <c r="A888" s="94" t="s">
        <v>753</v>
      </c>
      <c r="B888" s="95" t="s">
        <v>148</v>
      </c>
      <c r="C888" s="74" t="s">
        <v>46</v>
      </c>
      <c r="D888" s="74" t="s">
        <v>47</v>
      </c>
      <c r="E888" s="78" t="s">
        <v>754</v>
      </c>
      <c r="F888" s="440">
        <f>ROUND(6,15)</f>
        <v>6</v>
      </c>
      <c r="G888" s="440">
        <f t="shared" si="152"/>
        <v>25.704990787250033</v>
      </c>
      <c r="H888" s="441">
        <f t="shared" si="153"/>
        <v>154.22994472350001</v>
      </c>
      <c r="I888" s="520">
        <v>30.85</v>
      </c>
    </row>
    <row r="889" spans="1:9" ht="26.1" customHeight="1" thickBot="1">
      <c r="A889" s="92" t="s">
        <v>755</v>
      </c>
      <c r="B889" s="93" t="s">
        <v>148</v>
      </c>
      <c r="C889" s="58" t="s">
        <v>46</v>
      </c>
      <c r="D889" s="58" t="s">
        <v>47</v>
      </c>
      <c r="E889" s="59" t="s">
        <v>756</v>
      </c>
      <c r="F889" s="437">
        <f>ROUND(23,15)</f>
        <v>23</v>
      </c>
      <c r="G889" s="437">
        <f t="shared" si="152"/>
        <v>9.4654358296000112</v>
      </c>
      <c r="H889" s="439">
        <f t="shared" si="153"/>
        <v>217.7050240808</v>
      </c>
      <c r="I889" s="520">
        <v>11.36</v>
      </c>
    </row>
    <row r="890" spans="1:9" ht="26.1" customHeight="1" thickBot="1">
      <c r="A890" s="92">
        <v>89797</v>
      </c>
      <c r="B890" s="93" t="s">
        <v>45</v>
      </c>
      <c r="C890" s="58" t="s">
        <v>46</v>
      </c>
      <c r="D890" s="58" t="s">
        <v>47</v>
      </c>
      <c r="E890" s="59" t="s">
        <v>757</v>
      </c>
      <c r="F890" s="437">
        <f>ROUND(8,15)</f>
        <v>8</v>
      </c>
      <c r="G890" s="437">
        <f t="shared" si="152"/>
        <v>35.52871336040004</v>
      </c>
      <c r="H890" s="439">
        <f t="shared" si="153"/>
        <v>284.22970688319998</v>
      </c>
      <c r="I890" s="520">
        <v>42.64</v>
      </c>
    </row>
    <row r="891" spans="1:9" ht="26.1" customHeight="1" thickBot="1">
      <c r="A891" s="92" t="s">
        <v>758</v>
      </c>
      <c r="B891" s="93" t="s">
        <v>148</v>
      </c>
      <c r="C891" s="58" t="s">
        <v>46</v>
      </c>
      <c r="D891" s="58" t="s">
        <v>47</v>
      </c>
      <c r="E891" s="59" t="s">
        <v>759</v>
      </c>
      <c r="F891" s="437">
        <f>ROUND(13,15)</f>
        <v>13</v>
      </c>
      <c r="G891" s="437">
        <f t="shared" si="152"/>
        <v>30.179408956700033</v>
      </c>
      <c r="H891" s="439">
        <f t="shared" si="153"/>
        <v>392.33231643710002</v>
      </c>
      <c r="I891" s="520">
        <v>36.22</v>
      </c>
    </row>
    <row r="892" spans="1:9" ht="26.1" customHeight="1" thickBot="1">
      <c r="A892" s="92" t="s">
        <v>760</v>
      </c>
      <c r="B892" s="93" t="s">
        <v>148</v>
      </c>
      <c r="C892" s="58" t="s">
        <v>46</v>
      </c>
      <c r="D892" s="58" t="s">
        <v>47</v>
      </c>
      <c r="E892" s="59" t="s">
        <v>761</v>
      </c>
      <c r="F892" s="437">
        <f>ROUND(4,15)</f>
        <v>4</v>
      </c>
      <c r="G892" s="437">
        <f t="shared" si="152"/>
        <v>23.62192832475003</v>
      </c>
      <c r="H892" s="439">
        <f t="shared" si="153"/>
        <v>94.487713299000106</v>
      </c>
      <c r="I892" s="520">
        <v>28.35</v>
      </c>
    </row>
    <row r="893" spans="1:9" ht="26.1" customHeight="1" thickBot="1">
      <c r="A893" s="92">
        <v>89785</v>
      </c>
      <c r="B893" s="93" t="s">
        <v>45</v>
      </c>
      <c r="C893" s="58" t="s">
        <v>46</v>
      </c>
      <c r="D893" s="58" t="s">
        <v>47</v>
      </c>
      <c r="E893" s="59" t="s">
        <v>762</v>
      </c>
      <c r="F893" s="437">
        <f>ROUND(2,15)</f>
        <v>2</v>
      </c>
      <c r="G893" s="437">
        <f t="shared" si="152"/>
        <v>16.531183702400018</v>
      </c>
      <c r="H893" s="439">
        <f t="shared" si="153"/>
        <v>33.0623674048</v>
      </c>
      <c r="I893" s="520">
        <v>19.84</v>
      </c>
    </row>
    <row r="894" spans="1:9" ht="26.1" customHeight="1" thickBot="1">
      <c r="A894" s="92" t="s">
        <v>763</v>
      </c>
      <c r="B894" s="93" t="s">
        <v>148</v>
      </c>
      <c r="C894" s="58" t="s">
        <v>46</v>
      </c>
      <c r="D894" s="58" t="s">
        <v>47</v>
      </c>
      <c r="E894" s="59" t="s">
        <v>764</v>
      </c>
      <c r="F894" s="437">
        <f>ROUND(1,15)</f>
        <v>1</v>
      </c>
      <c r="G894" s="437">
        <f t="shared" si="152"/>
        <v>29.379512971100034</v>
      </c>
      <c r="H894" s="439">
        <f t="shared" si="153"/>
        <v>29.379512971099999</v>
      </c>
      <c r="I894" s="520">
        <v>35.26</v>
      </c>
    </row>
    <row r="895" spans="1:9" ht="26.1" customHeight="1" thickBot="1">
      <c r="A895" s="92" t="s">
        <v>765</v>
      </c>
      <c r="B895" s="93" t="s">
        <v>148</v>
      </c>
      <c r="C895" s="58" t="s">
        <v>46</v>
      </c>
      <c r="D895" s="58" t="s">
        <v>47</v>
      </c>
      <c r="E895" s="59" t="s">
        <v>766</v>
      </c>
      <c r="F895" s="437">
        <f>ROUND(1,15)</f>
        <v>1</v>
      </c>
      <c r="G895" s="437">
        <f t="shared" si="152"/>
        <v>10.348654313700012</v>
      </c>
      <c r="H895" s="439">
        <f t="shared" si="153"/>
        <v>10.348654313700001</v>
      </c>
      <c r="I895" s="520">
        <v>12.42</v>
      </c>
    </row>
    <row r="896" spans="1:9" ht="26.1" customHeight="1" thickBot="1">
      <c r="A896" s="92">
        <v>89782</v>
      </c>
      <c r="B896" s="93" t="s">
        <v>45</v>
      </c>
      <c r="C896" s="58" t="s">
        <v>46</v>
      </c>
      <c r="D896" s="58" t="s">
        <v>47</v>
      </c>
      <c r="E896" s="59" t="s">
        <v>767</v>
      </c>
      <c r="F896" s="437">
        <f>ROUND(7,15)</f>
        <v>7</v>
      </c>
      <c r="G896" s="437">
        <f t="shared" si="152"/>
        <v>9.4654358296000112</v>
      </c>
      <c r="H896" s="439">
        <f t="shared" si="153"/>
        <v>66.258050807200107</v>
      </c>
      <c r="I896" s="520">
        <v>11.36</v>
      </c>
    </row>
    <row r="897" spans="1:9" ht="26.1" customHeight="1" thickBot="1">
      <c r="A897" s="92">
        <v>91185</v>
      </c>
      <c r="B897" s="93" t="s">
        <v>45</v>
      </c>
      <c r="C897" s="58" t="s">
        <v>46</v>
      </c>
      <c r="D897" s="58" t="s">
        <v>68</v>
      </c>
      <c r="E897" s="59" t="s">
        <v>768</v>
      </c>
      <c r="F897" s="437">
        <f>ROUND(153.92,15)</f>
        <v>153.91999999999999</v>
      </c>
      <c r="G897" s="437">
        <f t="shared" si="152"/>
        <v>5.2576496553500061</v>
      </c>
      <c r="H897" s="439">
        <f t="shared" si="153"/>
        <v>809.25743495147299</v>
      </c>
      <c r="I897" s="520">
        <v>6.31</v>
      </c>
    </row>
    <row r="898" spans="1:9" ht="36" customHeight="1" thickBot="1">
      <c r="A898" s="92">
        <v>91186</v>
      </c>
      <c r="B898" s="93" t="s">
        <v>45</v>
      </c>
      <c r="C898" s="58" t="s">
        <v>46</v>
      </c>
      <c r="D898" s="58" t="s">
        <v>68</v>
      </c>
      <c r="E898" s="59" t="s">
        <v>769</v>
      </c>
      <c r="F898" s="437">
        <f>ROUND(53.64,15)</f>
        <v>53.64</v>
      </c>
      <c r="G898" s="437">
        <f t="shared" si="152"/>
        <v>4.2911086727500054</v>
      </c>
      <c r="H898" s="439">
        <f t="shared" si="153"/>
        <v>230.17506920631001</v>
      </c>
      <c r="I898" s="520">
        <v>5.15</v>
      </c>
    </row>
    <row r="899" spans="1:9" ht="26.1" customHeight="1" thickBot="1">
      <c r="A899" s="96">
        <v>91187</v>
      </c>
      <c r="B899" s="97" t="s">
        <v>45</v>
      </c>
      <c r="C899" s="60" t="s">
        <v>46</v>
      </c>
      <c r="D899" s="60" t="s">
        <v>68</v>
      </c>
      <c r="E899" s="61" t="s">
        <v>770</v>
      </c>
      <c r="F899" s="442">
        <f>ROUND(124.24,15)</f>
        <v>124.24</v>
      </c>
      <c r="G899" s="437">
        <f t="shared" si="152"/>
        <v>4.9410241610500059</v>
      </c>
      <c r="H899" s="443">
        <f t="shared" si="153"/>
        <v>613.87284176885305</v>
      </c>
      <c r="I899" s="520">
        <v>5.93</v>
      </c>
    </row>
    <row r="900" spans="1:9" ht="15.75" thickTop="1" thickBot="1">
      <c r="A900" s="51"/>
      <c r="B900" s="52"/>
      <c r="C900" s="52"/>
      <c r="D900" s="136"/>
      <c r="E900" s="529" t="s">
        <v>735</v>
      </c>
      <c r="F900" s="530"/>
      <c r="G900" s="531">
        <f>H874+H875+H876+H877+H878+H879+H880+H881+H882+H883+H884+H885+H886+H887+H888+H889+H890+H891+H892+H893+H894+H895+H896+H897+H898+H899</f>
        <v>13335.229621324666</v>
      </c>
      <c r="H900" s="532">
        <f>ROUND(G900,15)</f>
        <v>13335.229621324699</v>
      </c>
      <c r="I900" s="520"/>
    </row>
    <row r="901" spans="1:9" ht="15.75" thickTop="1" thickBot="1">
      <c r="A901" s="272" t="s">
        <v>771</v>
      </c>
      <c r="B901" s="273"/>
      <c r="C901" s="273" t="s">
        <v>38</v>
      </c>
      <c r="D901" s="274"/>
      <c r="E901" s="353" t="s">
        <v>772</v>
      </c>
      <c r="F901" s="276"/>
      <c r="G901" s="277">
        <f>G906</f>
        <v>1021.6004896088012</v>
      </c>
      <c r="H901" s="278">
        <f>ROUND(G901,15)</f>
        <v>1021.6004896088</v>
      </c>
      <c r="I901" s="520"/>
    </row>
    <row r="902" spans="1:9" ht="26.1" customHeight="1" thickTop="1" thickBot="1">
      <c r="A902" s="90">
        <v>89709</v>
      </c>
      <c r="B902" s="91" t="s">
        <v>45</v>
      </c>
      <c r="C902" s="54" t="s">
        <v>46</v>
      </c>
      <c r="D902" s="54" t="s">
        <v>47</v>
      </c>
      <c r="E902" s="55" t="s">
        <v>661</v>
      </c>
      <c r="F902" s="436">
        <f>ROUND(7,15)</f>
        <v>7</v>
      </c>
      <c r="G902" s="437">
        <f t="shared" ref="G902:G905" si="154">I902*(100%-$I$14)</f>
        <v>10.040361069250013</v>
      </c>
      <c r="H902" s="438">
        <f>ROUND(F902*G902,15)</f>
        <v>70.282527484750105</v>
      </c>
      <c r="I902" s="520">
        <v>12.05</v>
      </c>
    </row>
    <row r="903" spans="1:9" ht="26.1" customHeight="1" thickBot="1">
      <c r="A903" s="92" t="s">
        <v>773</v>
      </c>
      <c r="B903" s="93" t="s">
        <v>148</v>
      </c>
      <c r="C903" s="58" t="s">
        <v>46</v>
      </c>
      <c r="D903" s="58" t="s">
        <v>47</v>
      </c>
      <c r="E903" s="59" t="s">
        <v>774</v>
      </c>
      <c r="F903" s="437">
        <f>ROUND(2,15)</f>
        <v>2</v>
      </c>
      <c r="G903" s="437">
        <f t="shared" si="154"/>
        <v>34.54550787810004</v>
      </c>
      <c r="H903" s="439">
        <f>ROUND(F903*G903,15)</f>
        <v>69.091015756200093</v>
      </c>
      <c r="I903" s="520">
        <v>41.46</v>
      </c>
    </row>
    <row r="904" spans="1:9" ht="26.1" customHeight="1" thickBot="1">
      <c r="A904" s="92" t="s">
        <v>775</v>
      </c>
      <c r="B904" s="93" t="s">
        <v>148</v>
      </c>
      <c r="C904" s="58" t="s">
        <v>46</v>
      </c>
      <c r="D904" s="58" t="s">
        <v>47</v>
      </c>
      <c r="E904" s="59" t="s">
        <v>776</v>
      </c>
      <c r="F904" s="437">
        <f>ROUND(16,15)</f>
        <v>16</v>
      </c>
      <c r="G904" s="437">
        <f t="shared" si="154"/>
        <v>48.560352125800058</v>
      </c>
      <c r="H904" s="439">
        <f>ROUND(F904*G904,15)</f>
        <v>776.96563401280105</v>
      </c>
      <c r="I904" s="520">
        <v>58.28</v>
      </c>
    </row>
    <row r="905" spans="1:9" ht="26.1" customHeight="1" thickBot="1">
      <c r="A905" s="96" t="s">
        <v>777</v>
      </c>
      <c r="B905" s="97" t="s">
        <v>148</v>
      </c>
      <c r="C905" s="60" t="s">
        <v>46</v>
      </c>
      <c r="D905" s="60" t="s">
        <v>47</v>
      </c>
      <c r="E905" s="61" t="s">
        <v>778</v>
      </c>
      <c r="F905" s="442">
        <f>ROUND(1,15)</f>
        <v>1</v>
      </c>
      <c r="G905" s="437">
        <f t="shared" si="154"/>
        <v>105.26131235505012</v>
      </c>
      <c r="H905" s="443">
        <f>ROUND(F905*G905,15)</f>
        <v>105.26131235504999</v>
      </c>
      <c r="I905" s="520">
        <v>126.33</v>
      </c>
    </row>
    <row r="906" spans="1:9" ht="15.75" thickTop="1" thickBot="1">
      <c r="A906" s="51"/>
      <c r="B906" s="52"/>
      <c r="C906" s="52"/>
      <c r="D906" s="136"/>
      <c r="E906" s="529" t="s">
        <v>771</v>
      </c>
      <c r="F906" s="530"/>
      <c r="G906" s="531">
        <f>H902+H903+H904+H905</f>
        <v>1021.6004896088012</v>
      </c>
      <c r="H906" s="532">
        <f>ROUND(G906,15)</f>
        <v>1021.6004896088</v>
      </c>
      <c r="I906" s="520"/>
    </row>
    <row r="907" spans="1:9" ht="15.75" thickTop="1" thickBot="1">
      <c r="A907" s="272" t="s">
        <v>779</v>
      </c>
      <c r="B907" s="273"/>
      <c r="C907" s="273" t="s">
        <v>38</v>
      </c>
      <c r="D907" s="274"/>
      <c r="E907" s="353" t="s">
        <v>780</v>
      </c>
      <c r="F907" s="276"/>
      <c r="G907" s="277">
        <f>G911</f>
        <v>2611.4604189876004</v>
      </c>
      <c r="H907" s="278">
        <f>ROUND(G907,15)</f>
        <v>2611.4604189876</v>
      </c>
      <c r="I907" s="520"/>
    </row>
    <row r="908" spans="1:9" ht="26.1" customHeight="1" thickTop="1" thickBot="1">
      <c r="A908" s="90">
        <v>98108</v>
      </c>
      <c r="B908" s="91" t="s">
        <v>45</v>
      </c>
      <c r="C908" s="54" t="s">
        <v>46</v>
      </c>
      <c r="D908" s="54" t="s">
        <v>47</v>
      </c>
      <c r="E908" s="55" t="s">
        <v>1513</v>
      </c>
      <c r="F908" s="436">
        <f>ROUND(1,15)</f>
        <v>1</v>
      </c>
      <c r="G908" s="437">
        <f t="shared" ref="G908:G910" si="155">I908*(100%-$I$14)</f>
        <v>358.17842430195043</v>
      </c>
      <c r="H908" s="438">
        <f>ROUND(F908*G908,15)</f>
        <v>358.17842430194997</v>
      </c>
      <c r="I908" s="520">
        <v>429.87</v>
      </c>
    </row>
    <row r="909" spans="1:9" ht="26.1" customHeight="1" thickBot="1">
      <c r="A909" s="92">
        <v>97906</v>
      </c>
      <c r="B909" s="93" t="s">
        <v>45</v>
      </c>
      <c r="C909" s="58" t="s">
        <v>46</v>
      </c>
      <c r="D909" s="58" t="s">
        <v>47</v>
      </c>
      <c r="E909" s="59" t="s">
        <v>781</v>
      </c>
      <c r="F909" s="437">
        <f>ROUND(7,15)</f>
        <v>7</v>
      </c>
      <c r="G909" s="437">
        <f t="shared" si="155"/>
        <v>315.23400857505038</v>
      </c>
      <c r="H909" s="439">
        <f>ROUND(F909*G909,15)</f>
        <v>2206.6380600253501</v>
      </c>
      <c r="I909" s="520">
        <v>378.33</v>
      </c>
    </row>
    <row r="910" spans="1:9" ht="26.1" customHeight="1" thickBot="1">
      <c r="A910" s="96" t="s">
        <v>782</v>
      </c>
      <c r="B910" s="97" t="s">
        <v>148</v>
      </c>
      <c r="C910" s="60" t="s">
        <v>46</v>
      </c>
      <c r="D910" s="60" t="s">
        <v>47</v>
      </c>
      <c r="E910" s="61" t="s">
        <v>783</v>
      </c>
      <c r="F910" s="442">
        <f>ROUND(2,15)</f>
        <v>2</v>
      </c>
      <c r="G910" s="437">
        <f t="shared" si="155"/>
        <v>23.321967330150027</v>
      </c>
      <c r="H910" s="443">
        <f>ROUND(F910*G910,15)</f>
        <v>46.643934660300097</v>
      </c>
      <c r="I910" s="520">
        <v>27.99</v>
      </c>
    </row>
    <row r="911" spans="1:9" ht="15.75" thickTop="1" thickBot="1">
      <c r="A911" s="51"/>
      <c r="B911" s="52"/>
      <c r="C911" s="52"/>
      <c r="D911" s="136"/>
      <c r="E911" s="529" t="s">
        <v>779</v>
      </c>
      <c r="F911" s="530"/>
      <c r="G911" s="531">
        <f>H908+H909+H910</f>
        <v>2611.4604189876004</v>
      </c>
      <c r="H911" s="532">
        <f>ROUND(G911,15)</f>
        <v>2611.4604189876</v>
      </c>
      <c r="I911" s="520"/>
    </row>
    <row r="912" spans="1:9" ht="15.75" thickTop="1" thickBot="1">
      <c r="A912" s="272" t="s">
        <v>784</v>
      </c>
      <c r="B912" s="273"/>
      <c r="C912" s="273" t="s">
        <v>38</v>
      </c>
      <c r="D912" s="274"/>
      <c r="E912" s="353" t="s">
        <v>785</v>
      </c>
      <c r="F912" s="276"/>
      <c r="G912" s="277">
        <f>G930</f>
        <v>2039.5614524831215</v>
      </c>
      <c r="H912" s="278">
        <f>ROUND(G912,15)</f>
        <v>2039.5614524831201</v>
      </c>
      <c r="I912" s="520"/>
    </row>
    <row r="913" spans="1:9" ht="15.95" customHeight="1" thickTop="1" thickBot="1">
      <c r="A913" s="100" t="s">
        <v>786</v>
      </c>
      <c r="B913" s="101" t="s">
        <v>57</v>
      </c>
      <c r="C913" s="64" t="s">
        <v>46</v>
      </c>
      <c r="D913" s="64" t="s">
        <v>47</v>
      </c>
      <c r="E913" s="65" t="s">
        <v>1456</v>
      </c>
      <c r="F913" s="446">
        <f>ROUND(4,15)</f>
        <v>4</v>
      </c>
      <c r="G913" s="440">
        <f t="shared" ref="G913:G929" si="156">I913*(100%-$I$14)</f>
        <v>6.8074481274500078</v>
      </c>
      <c r="H913" s="447">
        <f t="shared" ref="H913:H929" si="157">ROUND(F913*G913,15)</f>
        <v>27.229792509799999</v>
      </c>
      <c r="I913" s="521">
        <v>8.17</v>
      </c>
    </row>
    <row r="914" spans="1:9" ht="15.95" customHeight="1" thickBot="1">
      <c r="A914" s="94" t="s">
        <v>788</v>
      </c>
      <c r="B914" s="95" t="s">
        <v>57</v>
      </c>
      <c r="C914" s="74" t="s">
        <v>46</v>
      </c>
      <c r="D914" s="74" t="s">
        <v>47</v>
      </c>
      <c r="E914" s="78" t="s">
        <v>1457</v>
      </c>
      <c r="F914" s="440">
        <f>ROUND(2,15)</f>
        <v>2</v>
      </c>
      <c r="G914" s="440">
        <f t="shared" si="156"/>
        <v>11.773469038050015</v>
      </c>
      <c r="H914" s="441">
        <f t="shared" si="157"/>
        <v>23.546938076099998</v>
      </c>
      <c r="I914" s="521">
        <v>14.13</v>
      </c>
    </row>
    <row r="915" spans="1:9" ht="26.1" customHeight="1" thickBot="1">
      <c r="A915" s="92">
        <v>89799</v>
      </c>
      <c r="B915" s="93" t="s">
        <v>45</v>
      </c>
      <c r="C915" s="58" t="s">
        <v>46</v>
      </c>
      <c r="D915" s="58" t="s">
        <v>68</v>
      </c>
      <c r="E915" s="59" t="s">
        <v>1455</v>
      </c>
      <c r="F915" s="437">
        <f>ROUND(30.66,15)</f>
        <v>30.66</v>
      </c>
      <c r="G915" s="437">
        <f t="shared" si="156"/>
        <v>15.81461021530002</v>
      </c>
      <c r="H915" s="439">
        <f t="shared" si="157"/>
        <v>484.87594920109899</v>
      </c>
      <c r="I915" s="520">
        <v>18.98</v>
      </c>
    </row>
    <row r="916" spans="1:9" ht="26.1" customHeight="1" thickBot="1">
      <c r="A916" s="92">
        <v>89798</v>
      </c>
      <c r="B916" s="93" t="s">
        <v>45</v>
      </c>
      <c r="C916" s="58" t="s">
        <v>46</v>
      </c>
      <c r="D916" s="58" t="s">
        <v>68</v>
      </c>
      <c r="E916" s="59" t="s">
        <v>1454</v>
      </c>
      <c r="F916" s="437">
        <f>ROUND(34.96,15)</f>
        <v>34.96</v>
      </c>
      <c r="G916" s="437">
        <f t="shared" si="156"/>
        <v>9.682074325700011</v>
      </c>
      <c r="H916" s="439">
        <f t="shared" si="157"/>
        <v>338.48531842647202</v>
      </c>
      <c r="I916" s="520">
        <v>11.62</v>
      </c>
    </row>
    <row r="917" spans="1:9" ht="26.1" customHeight="1" thickBot="1">
      <c r="A917" s="96">
        <v>89807</v>
      </c>
      <c r="B917" s="97" t="s">
        <v>45</v>
      </c>
      <c r="C917" s="60" t="s">
        <v>46</v>
      </c>
      <c r="D917" s="60" t="s">
        <v>47</v>
      </c>
      <c r="E917" s="61" t="s">
        <v>790</v>
      </c>
      <c r="F917" s="442">
        <f>ROUND(1,15)</f>
        <v>1</v>
      </c>
      <c r="G917" s="442">
        <f t="shared" si="156"/>
        <v>20.605653879050024</v>
      </c>
      <c r="H917" s="443">
        <f t="shared" si="157"/>
        <v>20.605653879049999</v>
      </c>
      <c r="I917" s="520">
        <v>24.73</v>
      </c>
    </row>
    <row r="918" spans="1:9" ht="26.1" customHeight="1" thickTop="1" thickBot="1">
      <c r="A918" s="90">
        <v>89803</v>
      </c>
      <c r="B918" s="91" t="s">
        <v>45</v>
      </c>
      <c r="C918" s="54" t="s">
        <v>46</v>
      </c>
      <c r="D918" s="54" t="s">
        <v>47</v>
      </c>
      <c r="E918" s="55" t="s">
        <v>791</v>
      </c>
      <c r="F918" s="436">
        <f>ROUND(2,15)</f>
        <v>2</v>
      </c>
      <c r="G918" s="436">
        <f t="shared" si="156"/>
        <v>11.006902051850014</v>
      </c>
      <c r="H918" s="438">
        <f t="shared" si="157"/>
        <v>22.0138041037</v>
      </c>
      <c r="I918" s="520">
        <v>13.21</v>
      </c>
    </row>
    <row r="919" spans="1:9" ht="26.1" customHeight="1" thickBot="1">
      <c r="A919" s="92" t="s">
        <v>765</v>
      </c>
      <c r="B919" s="93" t="s">
        <v>148</v>
      </c>
      <c r="C919" s="58" t="s">
        <v>46</v>
      </c>
      <c r="D919" s="58" t="s">
        <v>47</v>
      </c>
      <c r="E919" s="59" t="s">
        <v>1458</v>
      </c>
      <c r="F919" s="437">
        <f>ROUND(8,15)</f>
        <v>8</v>
      </c>
      <c r="G919" s="437">
        <f t="shared" si="156"/>
        <v>10.348654313700012</v>
      </c>
      <c r="H919" s="439">
        <f t="shared" si="157"/>
        <v>82.789234509600107</v>
      </c>
      <c r="I919" s="520">
        <v>12.42</v>
      </c>
    </row>
    <row r="920" spans="1:9" ht="26.1" customHeight="1" thickBot="1">
      <c r="A920" s="92">
        <v>89785</v>
      </c>
      <c r="B920" s="93" t="s">
        <v>45</v>
      </c>
      <c r="C920" s="58" t="s">
        <v>46</v>
      </c>
      <c r="D920" s="58" t="s">
        <v>47</v>
      </c>
      <c r="E920" s="59" t="s">
        <v>1459</v>
      </c>
      <c r="F920" s="437">
        <f>ROUND(1,15)</f>
        <v>1</v>
      </c>
      <c r="G920" s="437">
        <f t="shared" si="156"/>
        <v>16.531183702400018</v>
      </c>
      <c r="H920" s="439">
        <f t="shared" si="157"/>
        <v>16.5311837024</v>
      </c>
      <c r="I920" s="520">
        <v>19.84</v>
      </c>
    </row>
    <row r="921" spans="1:9" ht="26.1" customHeight="1" thickBot="1">
      <c r="A921" s="92" t="s">
        <v>763</v>
      </c>
      <c r="B921" s="93" t="s">
        <v>148</v>
      </c>
      <c r="C921" s="58" t="s">
        <v>46</v>
      </c>
      <c r="D921" s="58" t="s">
        <v>47</v>
      </c>
      <c r="E921" s="59" t="s">
        <v>764</v>
      </c>
      <c r="F921" s="437">
        <f>ROUND(3,15)</f>
        <v>3</v>
      </c>
      <c r="G921" s="437">
        <f t="shared" si="156"/>
        <v>29.379512971100034</v>
      </c>
      <c r="H921" s="439">
        <f t="shared" si="157"/>
        <v>88.138538913300096</v>
      </c>
      <c r="I921" s="520">
        <v>35.26</v>
      </c>
    </row>
    <row r="922" spans="1:9" ht="26.1" customHeight="1" thickBot="1">
      <c r="A922" s="92" t="s">
        <v>792</v>
      </c>
      <c r="B922" s="93" t="s">
        <v>148</v>
      </c>
      <c r="C922" s="58" t="s">
        <v>46</v>
      </c>
      <c r="D922" s="58" t="s">
        <v>47</v>
      </c>
      <c r="E922" s="59" t="s">
        <v>793</v>
      </c>
      <c r="F922" s="437">
        <f>ROUND(3,15)</f>
        <v>3</v>
      </c>
      <c r="G922" s="437">
        <f t="shared" si="156"/>
        <v>36.461925343600043</v>
      </c>
      <c r="H922" s="439">
        <f t="shared" si="157"/>
        <v>109.3857760308</v>
      </c>
      <c r="I922" s="520">
        <v>43.76</v>
      </c>
    </row>
    <row r="923" spans="1:9" ht="26.1" customHeight="1" thickBot="1">
      <c r="A923" s="92">
        <v>89784</v>
      </c>
      <c r="B923" s="93" t="s">
        <v>45</v>
      </c>
      <c r="C923" s="58" t="s">
        <v>46</v>
      </c>
      <c r="D923" s="58" t="s">
        <v>47</v>
      </c>
      <c r="E923" s="59" t="s">
        <v>1447</v>
      </c>
      <c r="F923" s="437">
        <f>ROUND(20,15)</f>
        <v>20</v>
      </c>
      <c r="G923" s="437">
        <f t="shared" si="156"/>
        <v>15.131365727600018</v>
      </c>
      <c r="H923" s="439">
        <f t="shared" si="157"/>
        <v>302.62731455199997</v>
      </c>
      <c r="I923" s="520">
        <v>18.16</v>
      </c>
    </row>
    <row r="924" spans="1:9" ht="26.1" customHeight="1" thickBot="1">
      <c r="A924" s="92">
        <v>89786</v>
      </c>
      <c r="B924" s="93" t="s">
        <v>45</v>
      </c>
      <c r="C924" s="58" t="s">
        <v>46</v>
      </c>
      <c r="D924" s="58" t="s">
        <v>47</v>
      </c>
      <c r="E924" s="59" t="s">
        <v>1448</v>
      </c>
      <c r="F924" s="437">
        <f>ROUND(9,15)</f>
        <v>9</v>
      </c>
      <c r="G924" s="437">
        <f t="shared" si="156"/>
        <v>25.096736548200031</v>
      </c>
      <c r="H924" s="439">
        <f t="shared" si="157"/>
        <v>225.87062893379999</v>
      </c>
      <c r="I924" s="520">
        <v>30.12</v>
      </c>
    </row>
    <row r="925" spans="1:9" ht="26.1" customHeight="1" thickBot="1">
      <c r="A925" s="92" t="s">
        <v>795</v>
      </c>
      <c r="B925" s="93" t="s">
        <v>148</v>
      </c>
      <c r="C925" s="58" t="s">
        <v>46</v>
      </c>
      <c r="D925" s="58" t="s">
        <v>47</v>
      </c>
      <c r="E925" s="59" t="s">
        <v>1449</v>
      </c>
      <c r="F925" s="437">
        <f>ROUND(2,15)</f>
        <v>2</v>
      </c>
      <c r="G925" s="437">
        <f t="shared" si="156"/>
        <v>24.321837312150031</v>
      </c>
      <c r="H925" s="439">
        <f t="shared" si="157"/>
        <v>48.643674624300097</v>
      </c>
      <c r="I925" s="520">
        <v>29.19</v>
      </c>
    </row>
    <row r="926" spans="1:9" ht="26.1" customHeight="1" thickBot="1">
      <c r="A926" s="92">
        <v>89805</v>
      </c>
      <c r="B926" s="93" t="s">
        <v>45</v>
      </c>
      <c r="C926" s="58" t="s">
        <v>46</v>
      </c>
      <c r="D926" s="58" t="s">
        <v>47</v>
      </c>
      <c r="E926" s="59" t="s">
        <v>1450</v>
      </c>
      <c r="F926" s="437">
        <f>ROUND(5,15)</f>
        <v>5</v>
      </c>
      <c r="G926" s="437">
        <f t="shared" si="156"/>
        <v>10.590289559350014</v>
      </c>
      <c r="H926" s="439">
        <f t="shared" si="157"/>
        <v>52.951447796750102</v>
      </c>
      <c r="I926" s="520">
        <v>12.71</v>
      </c>
    </row>
    <row r="927" spans="1:9" ht="26.1" customHeight="1" thickBot="1">
      <c r="A927" s="92">
        <v>89801</v>
      </c>
      <c r="B927" s="93" t="s">
        <v>45</v>
      </c>
      <c r="C927" s="58" t="s">
        <v>46</v>
      </c>
      <c r="D927" s="58" t="s">
        <v>47</v>
      </c>
      <c r="E927" s="59" t="s">
        <v>1451</v>
      </c>
      <c r="F927" s="437">
        <f>ROUND(19,15)</f>
        <v>19</v>
      </c>
      <c r="G927" s="437">
        <f t="shared" si="156"/>
        <v>5.2243206559500059</v>
      </c>
      <c r="H927" s="439">
        <f t="shared" si="157"/>
        <v>99.262092463050095</v>
      </c>
      <c r="I927" s="520">
        <v>6.27</v>
      </c>
    </row>
    <row r="928" spans="1:9" ht="26.1" customHeight="1" thickBot="1">
      <c r="A928" s="92">
        <v>89806</v>
      </c>
      <c r="B928" s="93" t="s">
        <v>45</v>
      </c>
      <c r="C928" s="58" t="s">
        <v>46</v>
      </c>
      <c r="D928" s="58" t="s">
        <v>47</v>
      </c>
      <c r="E928" s="59" t="s">
        <v>1452</v>
      </c>
      <c r="F928" s="437">
        <f>ROUND(4,15)</f>
        <v>4</v>
      </c>
      <c r="G928" s="437">
        <f t="shared" si="156"/>
        <v>11.290198546750014</v>
      </c>
      <c r="H928" s="439">
        <f t="shared" si="157"/>
        <v>45.1607941870001</v>
      </c>
      <c r="I928" s="520">
        <v>13.55</v>
      </c>
    </row>
    <row r="929" spans="1:9" ht="26.1" customHeight="1" thickBot="1">
      <c r="A929" s="96">
        <v>89802</v>
      </c>
      <c r="B929" s="97" t="s">
        <v>45</v>
      </c>
      <c r="C929" s="60" t="s">
        <v>46</v>
      </c>
      <c r="D929" s="60" t="s">
        <v>47</v>
      </c>
      <c r="E929" s="61" t="s">
        <v>1453</v>
      </c>
      <c r="F929" s="442">
        <f>ROUND(9,15)</f>
        <v>9</v>
      </c>
      <c r="G929" s="437">
        <f t="shared" si="156"/>
        <v>5.7159233971000072</v>
      </c>
      <c r="H929" s="443">
        <f t="shared" si="157"/>
        <v>51.443310573900099</v>
      </c>
      <c r="I929" s="520">
        <v>6.86</v>
      </c>
    </row>
    <row r="930" spans="1:9" ht="15.75" thickTop="1" thickBot="1">
      <c r="A930" s="85"/>
      <c r="B930" s="86"/>
      <c r="C930" s="86"/>
      <c r="D930" s="112"/>
      <c r="E930" s="462" t="s">
        <v>784</v>
      </c>
      <c r="F930" s="463"/>
      <c r="G930" s="464">
        <f>H913+H914+H915+H916+H917+H918+H919+H920+H921+H922+H923+H924+H925+H926+H927+H928+H929</f>
        <v>2039.5614524831215</v>
      </c>
      <c r="H930" s="465">
        <f>ROUND(G930,15)</f>
        <v>2039.5614524831201</v>
      </c>
      <c r="I930" s="520"/>
    </row>
    <row r="931" spans="1:9" ht="15" thickBot="1">
      <c r="A931" s="114"/>
      <c r="B931" s="115"/>
      <c r="C931" s="115"/>
      <c r="D931" s="116"/>
      <c r="E931" s="535" t="s">
        <v>733</v>
      </c>
      <c r="F931" s="536"/>
      <c r="G931" s="537">
        <f>H900+H906+H911+H930</f>
        <v>19007.85198240422</v>
      </c>
      <c r="H931" s="538">
        <f>ROUND(G931,15)</f>
        <v>19007.851982404201</v>
      </c>
      <c r="I931" s="520"/>
    </row>
    <row r="932" spans="1:9" ht="15.75" thickTop="1" thickBot="1">
      <c r="A932" s="199" t="s">
        <v>797</v>
      </c>
      <c r="B932" s="200"/>
      <c r="C932" s="200" t="s">
        <v>38</v>
      </c>
      <c r="D932" s="201"/>
      <c r="E932" s="202" t="s">
        <v>798</v>
      </c>
      <c r="F932" s="203"/>
      <c r="G932" s="204">
        <f>G947</f>
        <v>2023.2327424520809</v>
      </c>
      <c r="H932" s="205">
        <f>ROUND(G932,15)</f>
        <v>2023.2327424520799</v>
      </c>
      <c r="I932" s="520"/>
    </row>
    <row r="933" spans="1:9" ht="26.1" customHeight="1" thickTop="1" thickBot="1">
      <c r="A933" s="90">
        <v>92687</v>
      </c>
      <c r="B933" s="91" t="s">
        <v>45</v>
      </c>
      <c r="C933" s="54" t="s">
        <v>46</v>
      </c>
      <c r="D933" s="54" t="s">
        <v>68</v>
      </c>
      <c r="E933" s="55" t="s">
        <v>799</v>
      </c>
      <c r="F933" s="436">
        <f>ROUND(55.5,15)</f>
        <v>55.5</v>
      </c>
      <c r="G933" s="436">
        <f t="shared" ref="G933:G946" si="158">I933*(100%-$I$14)</f>
        <v>19.539125898250024</v>
      </c>
      <c r="H933" s="438">
        <f t="shared" ref="H933:H946" si="159">ROUND(F933*G933,15)</f>
        <v>1084.4214873528799</v>
      </c>
      <c r="I933" s="520">
        <v>23.45</v>
      </c>
    </row>
    <row r="934" spans="1:9" ht="26.1" customHeight="1" thickBot="1">
      <c r="A934" s="92">
        <v>92688</v>
      </c>
      <c r="B934" s="93" t="s">
        <v>45</v>
      </c>
      <c r="C934" s="58" t="s">
        <v>46</v>
      </c>
      <c r="D934" s="58" t="s">
        <v>68</v>
      </c>
      <c r="E934" s="59" t="s">
        <v>800</v>
      </c>
      <c r="F934" s="437">
        <f>ROUND(1,15)</f>
        <v>1</v>
      </c>
      <c r="G934" s="437">
        <f t="shared" si="158"/>
        <v>27.371440757250035</v>
      </c>
      <c r="H934" s="439">
        <f t="shared" si="159"/>
        <v>27.371440757249999</v>
      </c>
      <c r="I934" s="520">
        <v>32.85</v>
      </c>
    </row>
    <row r="935" spans="1:9" ht="15" thickBot="1">
      <c r="A935" s="94" t="s">
        <v>801</v>
      </c>
      <c r="B935" s="95" t="s">
        <v>57</v>
      </c>
      <c r="C935" s="74" t="s">
        <v>46</v>
      </c>
      <c r="D935" s="74" t="s">
        <v>47</v>
      </c>
      <c r="E935" s="78" t="s">
        <v>802</v>
      </c>
      <c r="F935" s="440">
        <f>ROUND(2,15)</f>
        <v>2</v>
      </c>
      <c r="G935" s="437">
        <f t="shared" si="158"/>
        <v>36.361938345400041</v>
      </c>
      <c r="H935" s="441">
        <f t="shared" si="159"/>
        <v>72.723876690800097</v>
      </c>
      <c r="I935" s="520">
        <v>43.64</v>
      </c>
    </row>
    <row r="936" spans="1:9" ht="15" thickBot="1">
      <c r="A936" s="94" t="s">
        <v>803</v>
      </c>
      <c r="B936" s="95" t="s">
        <v>148</v>
      </c>
      <c r="C936" s="74" t="s">
        <v>46</v>
      </c>
      <c r="D936" s="74" t="s">
        <v>47</v>
      </c>
      <c r="E936" s="78" t="s">
        <v>804</v>
      </c>
      <c r="F936" s="440">
        <f>ROUND(9,15)</f>
        <v>9</v>
      </c>
      <c r="G936" s="437">
        <f t="shared" si="158"/>
        <v>22.538735844250027</v>
      </c>
      <c r="H936" s="441">
        <f t="shared" si="159"/>
        <v>202.84862259824999</v>
      </c>
      <c r="I936" s="520">
        <v>27.05</v>
      </c>
    </row>
    <row r="937" spans="1:9" ht="15" thickBot="1">
      <c r="A937" s="94" t="s">
        <v>805</v>
      </c>
      <c r="B937" s="95" t="s">
        <v>148</v>
      </c>
      <c r="C937" s="74" t="s">
        <v>46</v>
      </c>
      <c r="D937" s="74" t="s">
        <v>47</v>
      </c>
      <c r="E937" s="78" t="s">
        <v>806</v>
      </c>
      <c r="F937" s="440">
        <f>ROUND(2,15)</f>
        <v>2</v>
      </c>
      <c r="G937" s="437">
        <f t="shared" si="158"/>
        <v>30.671011697850037</v>
      </c>
      <c r="H937" s="441">
        <f t="shared" si="159"/>
        <v>61.342023395700103</v>
      </c>
      <c r="I937" s="520">
        <v>36.81</v>
      </c>
    </row>
    <row r="938" spans="1:9" ht="15" thickBot="1">
      <c r="A938" s="94" t="s">
        <v>807</v>
      </c>
      <c r="B938" s="95" t="s">
        <v>148</v>
      </c>
      <c r="C938" s="74" t="s">
        <v>46</v>
      </c>
      <c r="D938" s="74" t="s">
        <v>47</v>
      </c>
      <c r="E938" s="78" t="s">
        <v>808</v>
      </c>
      <c r="F938" s="440">
        <f>ROUND(2,15)</f>
        <v>2</v>
      </c>
      <c r="G938" s="437">
        <f t="shared" si="158"/>
        <v>24.888430301950031</v>
      </c>
      <c r="H938" s="441">
        <f t="shared" si="159"/>
        <v>49.776860603900097</v>
      </c>
      <c r="I938" s="520">
        <v>29.87</v>
      </c>
    </row>
    <row r="939" spans="1:9" ht="15" thickBot="1">
      <c r="A939" s="94" t="s">
        <v>809</v>
      </c>
      <c r="B939" s="95" t="s">
        <v>148</v>
      </c>
      <c r="C939" s="74" t="s">
        <v>46</v>
      </c>
      <c r="D939" s="74" t="s">
        <v>47</v>
      </c>
      <c r="E939" s="78" t="s">
        <v>810</v>
      </c>
      <c r="F939" s="440">
        <f>ROUND(2,15)</f>
        <v>2</v>
      </c>
      <c r="G939" s="437">
        <f t="shared" si="158"/>
        <v>81.314426286150095</v>
      </c>
      <c r="H939" s="441">
        <f t="shared" si="159"/>
        <v>162.62885257229999</v>
      </c>
      <c r="I939" s="520">
        <v>97.59</v>
      </c>
    </row>
    <row r="940" spans="1:9" ht="15" thickBot="1">
      <c r="A940" s="94" t="s">
        <v>811</v>
      </c>
      <c r="B940" s="95" t="s">
        <v>148</v>
      </c>
      <c r="C940" s="74" t="s">
        <v>46</v>
      </c>
      <c r="D940" s="74" t="s">
        <v>47</v>
      </c>
      <c r="E940" s="78" t="s">
        <v>812</v>
      </c>
      <c r="F940" s="440">
        <f>ROUND(1,15)</f>
        <v>1</v>
      </c>
      <c r="G940" s="437">
        <f t="shared" si="158"/>
        <v>19.180839154700021</v>
      </c>
      <c r="H940" s="441">
        <f t="shared" si="159"/>
        <v>19.180839154699999</v>
      </c>
      <c r="I940" s="520">
        <v>23.02</v>
      </c>
    </row>
    <row r="941" spans="1:9" ht="15" thickBot="1">
      <c r="A941" s="94">
        <v>85120</v>
      </c>
      <c r="B941" s="95" t="s">
        <v>45</v>
      </c>
      <c r="C941" s="74" t="s">
        <v>46</v>
      </c>
      <c r="D941" s="74" t="s">
        <v>47</v>
      </c>
      <c r="E941" s="78" t="s">
        <v>813</v>
      </c>
      <c r="F941" s="440">
        <f>ROUND(1,15)</f>
        <v>1</v>
      </c>
      <c r="G941" s="437">
        <f t="shared" si="158"/>
        <v>84.330700731850087</v>
      </c>
      <c r="H941" s="441">
        <f t="shared" si="159"/>
        <v>84.330700731850101</v>
      </c>
      <c r="I941" s="520">
        <v>101.21</v>
      </c>
    </row>
    <row r="942" spans="1:9" ht="15" thickBot="1">
      <c r="A942" s="94" t="s">
        <v>814</v>
      </c>
      <c r="B942" s="95" t="s">
        <v>148</v>
      </c>
      <c r="C942" s="74" t="s">
        <v>46</v>
      </c>
      <c r="D942" s="167" t="s">
        <v>47</v>
      </c>
      <c r="E942" s="78" t="s">
        <v>815</v>
      </c>
      <c r="F942" s="440">
        <f>ROUND(1,15)</f>
        <v>1</v>
      </c>
      <c r="G942" s="437">
        <f t="shared" si="158"/>
        <v>74.673623155700085</v>
      </c>
      <c r="H942" s="441">
        <f t="shared" si="159"/>
        <v>74.673623155700099</v>
      </c>
      <c r="I942" s="520">
        <v>89.62</v>
      </c>
    </row>
    <row r="943" spans="1:9" ht="26.1" customHeight="1" thickBot="1">
      <c r="A943" s="92">
        <v>92692</v>
      </c>
      <c r="B943" s="93" t="s">
        <v>45</v>
      </c>
      <c r="C943" s="165" t="s">
        <v>46</v>
      </c>
      <c r="D943" s="58" t="s">
        <v>47</v>
      </c>
      <c r="E943" s="166" t="s">
        <v>1460</v>
      </c>
      <c r="F943" s="437">
        <f>ROUND(4,15)</f>
        <v>4</v>
      </c>
      <c r="G943" s="437">
        <f t="shared" si="158"/>
        <v>8.59888184520001</v>
      </c>
      <c r="H943" s="439">
        <f t="shared" si="159"/>
        <v>34.395527380799997</v>
      </c>
      <c r="I943" s="520">
        <v>10.32</v>
      </c>
    </row>
    <row r="944" spans="1:9" ht="15" thickBot="1">
      <c r="A944" s="94" t="s">
        <v>816</v>
      </c>
      <c r="B944" s="95" t="s">
        <v>148</v>
      </c>
      <c r="C944" s="74" t="s">
        <v>46</v>
      </c>
      <c r="D944" s="168" t="s">
        <v>47</v>
      </c>
      <c r="E944" s="78" t="s">
        <v>817</v>
      </c>
      <c r="F944" s="440">
        <f>ROUND(1,15)</f>
        <v>1</v>
      </c>
      <c r="G944" s="437">
        <f t="shared" si="158"/>
        <v>43.01940597555005</v>
      </c>
      <c r="H944" s="441">
        <f t="shared" si="159"/>
        <v>43.0194059755501</v>
      </c>
      <c r="I944" s="520">
        <v>51.63</v>
      </c>
    </row>
    <row r="945" spans="1:9" ht="15" thickBot="1">
      <c r="A945" s="94" t="s">
        <v>818</v>
      </c>
      <c r="B945" s="95" t="s">
        <v>148</v>
      </c>
      <c r="C945" s="74" t="s">
        <v>46</v>
      </c>
      <c r="D945" s="74" t="s">
        <v>47</v>
      </c>
      <c r="E945" s="78" t="s">
        <v>819</v>
      </c>
      <c r="F945" s="440">
        <f>ROUND(1,15)</f>
        <v>1</v>
      </c>
      <c r="G945" s="437">
        <f t="shared" si="158"/>
        <v>24.730117554800028</v>
      </c>
      <c r="H945" s="441">
        <f t="shared" si="159"/>
        <v>24.7301175548</v>
      </c>
      <c r="I945" s="520">
        <v>29.68</v>
      </c>
    </row>
    <row r="946" spans="1:9" ht="15" thickBot="1">
      <c r="A946" s="102" t="s">
        <v>820</v>
      </c>
      <c r="B946" s="103" t="s">
        <v>57</v>
      </c>
      <c r="C946" s="66" t="s">
        <v>46</v>
      </c>
      <c r="D946" s="66" t="s">
        <v>47</v>
      </c>
      <c r="E946" s="67" t="s">
        <v>821</v>
      </c>
      <c r="F946" s="450">
        <f>ROUND(1,15)</f>
        <v>1</v>
      </c>
      <c r="G946" s="437">
        <f t="shared" si="158"/>
        <v>81.7893645276001</v>
      </c>
      <c r="H946" s="451">
        <f t="shared" si="159"/>
        <v>81.7893645276001</v>
      </c>
      <c r="I946" s="520">
        <v>98.16</v>
      </c>
    </row>
    <row r="947" spans="1:9" ht="15.75" thickTop="1" thickBot="1">
      <c r="A947" s="35"/>
      <c r="B947" s="36"/>
      <c r="C947" s="36"/>
      <c r="D947" s="37"/>
      <c r="E947" s="462" t="s">
        <v>797</v>
      </c>
      <c r="F947" s="463"/>
      <c r="G947" s="464">
        <f>H933+H934+H935+H936+H937+H938+H939+H940+H941+H942+H943+H944+H945+H946</f>
        <v>2023.2327424520809</v>
      </c>
      <c r="H947" s="465">
        <f>ROUND(G947,15)</f>
        <v>2023.2327424520799</v>
      </c>
      <c r="I947" s="520"/>
    </row>
    <row r="948" spans="1:9" ht="15" thickBot="1">
      <c r="A948" s="75"/>
      <c r="B948" s="76"/>
      <c r="C948" s="76"/>
      <c r="D948" s="77"/>
      <c r="E948" s="485" t="s">
        <v>522</v>
      </c>
      <c r="F948" s="486"/>
      <c r="G948" s="487">
        <f>H785+H820+H871+H931+H947</f>
        <v>142660.0617954825</v>
      </c>
      <c r="H948" s="488">
        <f>ROUND(G948,15)</f>
        <v>142660.061795482</v>
      </c>
      <c r="I948" s="520"/>
    </row>
    <row r="949" spans="1:9" ht="15.75" thickTop="1" thickBot="1">
      <c r="A949" s="213" t="s">
        <v>822</v>
      </c>
      <c r="B949" s="214"/>
      <c r="C949" s="214" t="s">
        <v>38</v>
      </c>
      <c r="D949" s="215"/>
      <c r="E949" s="216" t="s">
        <v>246</v>
      </c>
      <c r="F949" s="217"/>
      <c r="G949" s="218">
        <f>G1078</f>
        <v>50394.757922346398</v>
      </c>
      <c r="H949" s="219">
        <f>ROUND(G949,15)</f>
        <v>50394.757922346398</v>
      </c>
      <c r="I949" s="520"/>
    </row>
    <row r="950" spans="1:9" ht="15" customHeight="1" thickBot="1">
      <c r="A950" s="258" t="s">
        <v>823</v>
      </c>
      <c r="B950" s="259"/>
      <c r="C950" s="259" t="s">
        <v>38</v>
      </c>
      <c r="D950" s="260"/>
      <c r="E950" s="351" t="s">
        <v>824</v>
      </c>
      <c r="F950" s="262"/>
      <c r="G950" s="263">
        <f>G1015</f>
        <v>13601.731383459504</v>
      </c>
      <c r="H950" s="264">
        <f>ROUND(G950,15)</f>
        <v>13601.731383459501</v>
      </c>
      <c r="I950" s="520"/>
    </row>
    <row r="951" spans="1:9" ht="15" customHeight="1" thickBot="1">
      <c r="A951" s="265" t="s">
        <v>825</v>
      </c>
      <c r="B951" s="266"/>
      <c r="C951" s="266" t="s">
        <v>38</v>
      </c>
      <c r="D951" s="267"/>
      <c r="E951" s="352" t="s">
        <v>526</v>
      </c>
      <c r="F951" s="269"/>
      <c r="G951" s="270">
        <f>G958</f>
        <v>695.09294698670112</v>
      </c>
      <c r="H951" s="271">
        <f>ROUND(G951,15)</f>
        <v>695.09294698670101</v>
      </c>
      <c r="I951" s="520"/>
    </row>
    <row r="952" spans="1:9" ht="26.1" customHeight="1" thickTop="1" thickBot="1">
      <c r="A952" s="90">
        <v>89446</v>
      </c>
      <c r="B952" s="91" t="s">
        <v>45</v>
      </c>
      <c r="C952" s="54" t="s">
        <v>46</v>
      </c>
      <c r="D952" s="54" t="s">
        <v>68</v>
      </c>
      <c r="E952" s="55" t="s">
        <v>527</v>
      </c>
      <c r="F952" s="436">
        <f>ROUND(144.34,15)</f>
        <v>144.34</v>
      </c>
      <c r="G952" s="437">
        <f t="shared" ref="G952:G957" si="160">I952*(100%-$I$14)</f>
        <v>3.9828154283000048</v>
      </c>
      <c r="H952" s="438">
        <f t="shared" ref="H952:H957" si="161">ROUND(F952*G952,15)</f>
        <v>574.87957892082295</v>
      </c>
      <c r="I952" s="520">
        <v>4.78</v>
      </c>
    </row>
    <row r="953" spans="1:9" ht="26.1" customHeight="1" thickBot="1">
      <c r="A953" s="92">
        <v>89447</v>
      </c>
      <c r="B953" s="93" t="s">
        <v>45</v>
      </c>
      <c r="C953" s="58" t="s">
        <v>46</v>
      </c>
      <c r="D953" s="58" t="s">
        <v>68</v>
      </c>
      <c r="E953" s="59" t="s">
        <v>539</v>
      </c>
      <c r="F953" s="437">
        <f>ROUND(10.68,15)</f>
        <v>10.68</v>
      </c>
      <c r="G953" s="437">
        <f t="shared" si="160"/>
        <v>8.4239045983500098</v>
      </c>
      <c r="H953" s="439">
        <f t="shared" si="161"/>
        <v>89.967301110378102</v>
      </c>
      <c r="I953" s="520">
        <v>10.11</v>
      </c>
    </row>
    <row r="954" spans="1:9" ht="26.1" customHeight="1" thickBot="1">
      <c r="A954" s="92">
        <v>89492</v>
      </c>
      <c r="B954" s="93" t="s">
        <v>45</v>
      </c>
      <c r="C954" s="58" t="s">
        <v>46</v>
      </c>
      <c r="D954" s="58" t="s">
        <v>47</v>
      </c>
      <c r="E954" s="59" t="s">
        <v>550</v>
      </c>
      <c r="F954" s="437">
        <f>ROUND(1,15)</f>
        <v>1</v>
      </c>
      <c r="G954" s="437">
        <f t="shared" si="160"/>
        <v>5.6159363989000068</v>
      </c>
      <c r="H954" s="439">
        <f t="shared" si="161"/>
        <v>5.6159363989000104</v>
      </c>
      <c r="I954" s="520">
        <v>6.74</v>
      </c>
    </row>
    <row r="955" spans="1:9" ht="26.1" customHeight="1" thickBot="1">
      <c r="A955" s="92">
        <v>89481</v>
      </c>
      <c r="B955" s="93" t="s">
        <v>45</v>
      </c>
      <c r="C955" s="58" t="s">
        <v>46</v>
      </c>
      <c r="D955" s="58" t="s">
        <v>47</v>
      </c>
      <c r="E955" s="59" t="s">
        <v>528</v>
      </c>
      <c r="F955" s="437">
        <f>ROUND(2,15)</f>
        <v>2</v>
      </c>
      <c r="G955" s="437">
        <f t="shared" si="160"/>
        <v>3.5828674355000039</v>
      </c>
      <c r="H955" s="439">
        <f t="shared" si="161"/>
        <v>7.1657348710000104</v>
      </c>
      <c r="I955" s="520">
        <v>4.3</v>
      </c>
    </row>
    <row r="956" spans="1:9" ht="26.1" customHeight="1" thickBot="1">
      <c r="A956" s="92">
        <v>89440</v>
      </c>
      <c r="B956" s="93" t="s">
        <v>45</v>
      </c>
      <c r="C956" s="58" t="s">
        <v>46</v>
      </c>
      <c r="D956" s="58" t="s">
        <v>47</v>
      </c>
      <c r="E956" s="59" t="s">
        <v>826</v>
      </c>
      <c r="F956" s="437">
        <f>ROUND(2,15)</f>
        <v>2</v>
      </c>
      <c r="G956" s="437">
        <f t="shared" si="160"/>
        <v>6.6074741310500071</v>
      </c>
      <c r="H956" s="439">
        <f t="shared" si="161"/>
        <v>13.2149482621</v>
      </c>
      <c r="I956" s="520">
        <v>7.93</v>
      </c>
    </row>
    <row r="957" spans="1:9" ht="26.1" customHeight="1" thickBot="1">
      <c r="A957" s="96">
        <v>89485</v>
      </c>
      <c r="B957" s="97" t="s">
        <v>45</v>
      </c>
      <c r="C957" s="60" t="s">
        <v>46</v>
      </c>
      <c r="D957" s="60" t="s">
        <v>47</v>
      </c>
      <c r="E957" s="61" t="s">
        <v>827</v>
      </c>
      <c r="F957" s="442">
        <f>ROUND(1,15)</f>
        <v>1</v>
      </c>
      <c r="G957" s="437">
        <f t="shared" si="160"/>
        <v>4.2494474235000048</v>
      </c>
      <c r="H957" s="443">
        <f t="shared" si="161"/>
        <v>4.2494474235000004</v>
      </c>
      <c r="I957" s="520">
        <v>5.0999999999999996</v>
      </c>
    </row>
    <row r="958" spans="1:9" ht="15.75" thickTop="1" thickBot="1">
      <c r="A958" s="51"/>
      <c r="B958" s="52"/>
      <c r="C958" s="52"/>
      <c r="D958" s="136"/>
      <c r="E958" s="524" t="s">
        <v>825</v>
      </c>
      <c r="F958" s="387"/>
      <c r="G958" s="388">
        <f>H952+H953+H954+H955+H956+H957</f>
        <v>695.09294698670112</v>
      </c>
      <c r="H958" s="389">
        <f>ROUND(G958,15)</f>
        <v>695.09294698670101</v>
      </c>
      <c r="I958" s="520"/>
    </row>
    <row r="959" spans="1:9" ht="15.75" thickTop="1" thickBot="1">
      <c r="A959" s="272" t="s">
        <v>828</v>
      </c>
      <c r="B959" s="273"/>
      <c r="C959" s="273" t="s">
        <v>38</v>
      </c>
      <c r="D959" s="274"/>
      <c r="E959" s="353" t="s">
        <v>829</v>
      </c>
      <c r="F959" s="276"/>
      <c r="G959" s="277">
        <f>G972</f>
        <v>3216.5439870021805</v>
      </c>
      <c r="H959" s="278">
        <f>ROUND(G959,15)</f>
        <v>3216.5439870021801</v>
      </c>
      <c r="I959" s="520"/>
    </row>
    <row r="960" spans="1:9" ht="26.1" customHeight="1" thickTop="1" thickBot="1">
      <c r="A960" s="90">
        <v>89446</v>
      </c>
      <c r="B960" s="91" t="s">
        <v>45</v>
      </c>
      <c r="C960" s="54" t="s">
        <v>46</v>
      </c>
      <c r="D960" s="54" t="s">
        <v>68</v>
      </c>
      <c r="E960" s="55" t="s">
        <v>527</v>
      </c>
      <c r="F960" s="436">
        <f>ROUND(10.63,15)</f>
        <v>10.63</v>
      </c>
      <c r="G960" s="437">
        <f t="shared" ref="G960:G971" si="162">I960*(100%-$I$14)</f>
        <v>3.9828154283000048</v>
      </c>
      <c r="H960" s="438">
        <f t="shared" ref="H960:H971" si="163">ROUND(F960*G960,15)</f>
        <v>42.337328002829103</v>
      </c>
      <c r="I960" s="520">
        <v>4.78</v>
      </c>
    </row>
    <row r="961" spans="1:9" ht="26.1" customHeight="1" thickBot="1">
      <c r="A961" s="92">
        <v>89447</v>
      </c>
      <c r="B961" s="93" t="s">
        <v>45</v>
      </c>
      <c r="C961" s="58" t="s">
        <v>46</v>
      </c>
      <c r="D961" s="58" t="s">
        <v>68</v>
      </c>
      <c r="E961" s="59" t="s">
        <v>539</v>
      </c>
      <c r="F961" s="437">
        <f>ROUND(23.03,15)</f>
        <v>23.03</v>
      </c>
      <c r="G961" s="437">
        <f t="shared" si="162"/>
        <v>8.4239045983500098</v>
      </c>
      <c r="H961" s="439">
        <f t="shared" si="163"/>
        <v>194.002522900001</v>
      </c>
      <c r="I961" s="520">
        <v>10.11</v>
      </c>
    </row>
    <row r="962" spans="1:9" ht="34.5" thickBot="1">
      <c r="A962" s="92">
        <v>94495</v>
      </c>
      <c r="B962" s="93" t="s">
        <v>45</v>
      </c>
      <c r="C962" s="58" t="s">
        <v>46</v>
      </c>
      <c r="D962" s="58" t="s">
        <v>47</v>
      </c>
      <c r="E962" s="59" t="s">
        <v>532</v>
      </c>
      <c r="F962" s="437">
        <f>ROUND(4,15)</f>
        <v>4</v>
      </c>
      <c r="G962" s="437">
        <f t="shared" si="162"/>
        <v>66.099738060050072</v>
      </c>
      <c r="H962" s="439">
        <f t="shared" si="163"/>
        <v>264.3989522402</v>
      </c>
      <c r="I962" s="520">
        <v>79.33</v>
      </c>
    </row>
    <row r="963" spans="1:9" ht="26.1" customHeight="1" thickBot="1">
      <c r="A963" s="92">
        <v>89353</v>
      </c>
      <c r="B963" s="93" t="s">
        <v>45</v>
      </c>
      <c r="C963" s="58" t="s">
        <v>46</v>
      </c>
      <c r="D963" s="58" t="s">
        <v>47</v>
      </c>
      <c r="E963" s="59" t="s">
        <v>533</v>
      </c>
      <c r="F963" s="437">
        <f>ROUND(2,15)</f>
        <v>2</v>
      </c>
      <c r="G963" s="437">
        <f t="shared" si="162"/>
        <v>32.137487671450039</v>
      </c>
      <c r="H963" s="439">
        <f t="shared" si="163"/>
        <v>64.274975342900106</v>
      </c>
      <c r="I963" s="520">
        <v>38.57</v>
      </c>
    </row>
    <row r="964" spans="1:9" ht="36" customHeight="1" thickBot="1">
      <c r="A964" s="92">
        <v>94708</v>
      </c>
      <c r="B964" s="93" t="s">
        <v>45</v>
      </c>
      <c r="C964" s="58" t="s">
        <v>46</v>
      </c>
      <c r="D964" s="58" t="s">
        <v>47</v>
      </c>
      <c r="E964" s="59" t="s">
        <v>830</v>
      </c>
      <c r="F964" s="437">
        <f>ROUND(2,15)</f>
        <v>2</v>
      </c>
      <c r="G964" s="437">
        <f t="shared" si="162"/>
        <v>20.405679882650023</v>
      </c>
      <c r="H964" s="439">
        <f t="shared" si="163"/>
        <v>40.811359765299997</v>
      </c>
      <c r="I964" s="520">
        <v>24.49</v>
      </c>
    </row>
    <row r="965" spans="1:9" ht="36" customHeight="1" thickBot="1">
      <c r="A965" s="92">
        <v>94709</v>
      </c>
      <c r="B965" s="93" t="s">
        <v>45</v>
      </c>
      <c r="C965" s="58" t="s">
        <v>46</v>
      </c>
      <c r="D965" s="58" t="s">
        <v>47</v>
      </c>
      <c r="E965" s="59" t="s">
        <v>831</v>
      </c>
      <c r="F965" s="437">
        <f>ROUND(7,15)</f>
        <v>7</v>
      </c>
      <c r="G965" s="437">
        <f t="shared" si="162"/>
        <v>26.221590277950028</v>
      </c>
      <c r="H965" s="439">
        <f t="shared" si="163"/>
        <v>183.55113194565001</v>
      </c>
      <c r="I965" s="520">
        <v>31.47</v>
      </c>
    </row>
    <row r="966" spans="1:9" ht="26.1" customHeight="1" thickBot="1">
      <c r="A966" s="92">
        <v>89363</v>
      </c>
      <c r="B966" s="93" t="s">
        <v>45</v>
      </c>
      <c r="C966" s="58" t="s">
        <v>46</v>
      </c>
      <c r="D966" s="58" t="s">
        <v>47</v>
      </c>
      <c r="E966" s="59" t="s">
        <v>832</v>
      </c>
      <c r="F966" s="437">
        <f>ROUND(2,15)</f>
        <v>2</v>
      </c>
      <c r="G966" s="437">
        <f t="shared" si="162"/>
        <v>7.3490443677000092</v>
      </c>
      <c r="H966" s="439">
        <f t="shared" si="163"/>
        <v>14.698088735400001</v>
      </c>
      <c r="I966" s="520">
        <v>8.82</v>
      </c>
    </row>
    <row r="967" spans="1:9" ht="26.1" customHeight="1" thickBot="1">
      <c r="A967" s="92">
        <v>89414</v>
      </c>
      <c r="B967" s="93" t="s">
        <v>45</v>
      </c>
      <c r="C967" s="58" t="s">
        <v>46</v>
      </c>
      <c r="D967" s="58" t="s">
        <v>47</v>
      </c>
      <c r="E967" s="59" t="s">
        <v>534</v>
      </c>
      <c r="F967" s="437">
        <f>ROUND(2,15)</f>
        <v>2</v>
      </c>
      <c r="G967" s="437">
        <f t="shared" si="162"/>
        <v>8.6738720938500098</v>
      </c>
      <c r="H967" s="439">
        <f t="shared" si="163"/>
        <v>17.347744187699998</v>
      </c>
      <c r="I967" s="520">
        <v>10.41</v>
      </c>
    </row>
    <row r="968" spans="1:9" ht="26.1" customHeight="1" thickBot="1">
      <c r="A968" s="92">
        <v>89408</v>
      </c>
      <c r="B968" s="93" t="s">
        <v>45</v>
      </c>
      <c r="C968" s="58" t="s">
        <v>46</v>
      </c>
      <c r="D968" s="58" t="s">
        <v>47</v>
      </c>
      <c r="E968" s="59" t="s">
        <v>536</v>
      </c>
      <c r="F968" s="437">
        <f>ROUND(10,15)</f>
        <v>10</v>
      </c>
      <c r="G968" s="437">
        <f t="shared" si="162"/>
        <v>4.6243986667500057</v>
      </c>
      <c r="H968" s="439">
        <f t="shared" si="163"/>
        <v>46.243986667500103</v>
      </c>
      <c r="I968" s="520">
        <v>5.55</v>
      </c>
    </row>
    <row r="969" spans="1:9" ht="26.1" customHeight="1" thickBot="1">
      <c r="A969" s="92">
        <v>89413</v>
      </c>
      <c r="B969" s="93" t="s">
        <v>45</v>
      </c>
      <c r="C969" s="58" t="s">
        <v>46</v>
      </c>
      <c r="D969" s="58" t="s">
        <v>47</v>
      </c>
      <c r="E969" s="59" t="s">
        <v>535</v>
      </c>
      <c r="F969" s="437">
        <f>ROUND(14,15)</f>
        <v>14</v>
      </c>
      <c r="G969" s="437">
        <f t="shared" si="162"/>
        <v>6.7907836277500087</v>
      </c>
      <c r="H969" s="439">
        <f t="shared" si="163"/>
        <v>95.070970788500105</v>
      </c>
      <c r="I969" s="520">
        <v>8.15</v>
      </c>
    </row>
    <row r="970" spans="1:9" ht="26.1" customHeight="1" thickBot="1">
      <c r="A970" s="92">
        <v>89443</v>
      </c>
      <c r="B970" s="93" t="s">
        <v>45</v>
      </c>
      <c r="C970" s="58" t="s">
        <v>46</v>
      </c>
      <c r="D970" s="58" t="s">
        <v>47</v>
      </c>
      <c r="E970" s="59" t="s">
        <v>537</v>
      </c>
      <c r="F970" s="437">
        <f>ROUND(3,15)</f>
        <v>3</v>
      </c>
      <c r="G970" s="437">
        <f t="shared" si="162"/>
        <v>10.415312312500012</v>
      </c>
      <c r="H970" s="439">
        <f t="shared" si="163"/>
        <v>31.245936937500002</v>
      </c>
      <c r="I970" s="520">
        <v>12.5</v>
      </c>
    </row>
    <row r="971" spans="1:9" ht="15" thickBot="1">
      <c r="A971" s="102">
        <v>88503</v>
      </c>
      <c r="B971" s="103" t="s">
        <v>45</v>
      </c>
      <c r="C971" s="66" t="s">
        <v>46</v>
      </c>
      <c r="D971" s="66" t="s">
        <v>47</v>
      </c>
      <c r="E971" s="67" t="s">
        <v>833</v>
      </c>
      <c r="F971" s="450">
        <f>ROUND(3,15)</f>
        <v>3</v>
      </c>
      <c r="G971" s="440">
        <f t="shared" si="162"/>
        <v>740.85366316290083</v>
      </c>
      <c r="H971" s="451">
        <f t="shared" si="163"/>
        <v>2222.5609894887002</v>
      </c>
      <c r="I971" s="520">
        <v>889.14</v>
      </c>
    </row>
    <row r="972" spans="1:9" ht="15.75" thickTop="1" thickBot="1">
      <c r="A972" s="51"/>
      <c r="B972" s="52"/>
      <c r="C972" s="52"/>
      <c r="D972" s="136"/>
      <c r="E972" s="524" t="s">
        <v>828</v>
      </c>
      <c r="F972" s="387"/>
      <c r="G972" s="388">
        <f>H960+H961+H962+H963+H964+H965+H966+H967+H968+H969+H970+H971</f>
        <v>3216.5439870021805</v>
      </c>
      <c r="H972" s="389">
        <f>ROUND(G972,15)</f>
        <v>3216.5439870021801</v>
      </c>
      <c r="I972" s="520"/>
    </row>
    <row r="973" spans="1:9" ht="15.75" thickTop="1" thickBot="1">
      <c r="A973" s="272" t="s">
        <v>834</v>
      </c>
      <c r="B973" s="273"/>
      <c r="C973" s="273" t="s">
        <v>38</v>
      </c>
      <c r="D973" s="274"/>
      <c r="E973" s="353" t="s">
        <v>546</v>
      </c>
      <c r="F973" s="276"/>
      <c r="G973" s="277">
        <f>G1001</f>
        <v>4103.6875440390213</v>
      </c>
      <c r="H973" s="278">
        <f>ROUND(G973,15)</f>
        <v>4103.6875440390204</v>
      </c>
      <c r="I973" s="520"/>
    </row>
    <row r="974" spans="1:9" ht="26.1" customHeight="1" thickTop="1" thickBot="1">
      <c r="A974" s="90">
        <v>89449</v>
      </c>
      <c r="B974" s="91" t="s">
        <v>45</v>
      </c>
      <c r="C974" s="54" t="s">
        <v>46</v>
      </c>
      <c r="D974" s="54" t="s">
        <v>68</v>
      </c>
      <c r="E974" s="55" t="s">
        <v>549</v>
      </c>
      <c r="F974" s="436">
        <f>ROUND(18.72,15)</f>
        <v>18.72</v>
      </c>
      <c r="G974" s="437">
        <f t="shared" ref="G974:G1000" si="164">I974*(100%-$I$14)</f>
        <v>13.923189499350016</v>
      </c>
      <c r="H974" s="438">
        <f t="shared" ref="H974:H1000" si="165">ROUND(F974*G974,15)</f>
        <v>260.642107427832</v>
      </c>
      <c r="I974" s="520">
        <v>16.71</v>
      </c>
    </row>
    <row r="975" spans="1:9" ht="26.1" customHeight="1" thickBot="1">
      <c r="A975" s="92">
        <v>89447</v>
      </c>
      <c r="B975" s="93" t="s">
        <v>45</v>
      </c>
      <c r="C975" s="58" t="s">
        <v>46</v>
      </c>
      <c r="D975" s="58" t="s">
        <v>68</v>
      </c>
      <c r="E975" s="59" t="s">
        <v>539</v>
      </c>
      <c r="F975" s="437">
        <f>ROUND(42.8,15)</f>
        <v>42.8</v>
      </c>
      <c r="G975" s="437">
        <f t="shared" si="164"/>
        <v>8.4239045983500098</v>
      </c>
      <c r="H975" s="439">
        <f t="shared" si="165"/>
        <v>360.54311680938002</v>
      </c>
      <c r="I975" s="520">
        <v>10.11</v>
      </c>
    </row>
    <row r="976" spans="1:9" ht="26.1" customHeight="1" thickBot="1">
      <c r="A976" s="92">
        <v>89402</v>
      </c>
      <c r="B976" s="93" t="s">
        <v>45</v>
      </c>
      <c r="C976" s="58" t="s">
        <v>46</v>
      </c>
      <c r="D976" s="58" t="s">
        <v>68</v>
      </c>
      <c r="E976" s="59" t="s">
        <v>1543</v>
      </c>
      <c r="F976" s="437">
        <f>ROUND(75.79,15)</f>
        <v>75.790000000000006</v>
      </c>
      <c r="G976" s="437">
        <f t="shared" si="164"/>
        <v>7.3157153683000082</v>
      </c>
      <c r="H976" s="439">
        <f t="shared" si="165"/>
        <v>554.45806776345796</v>
      </c>
      <c r="I976" s="520">
        <v>8.7799999999999994</v>
      </c>
    </row>
    <row r="977" spans="1:9" ht="26.1" customHeight="1" thickBot="1">
      <c r="A977" s="92">
        <v>89501</v>
      </c>
      <c r="B977" s="93" t="s">
        <v>45</v>
      </c>
      <c r="C977" s="58" t="s">
        <v>46</v>
      </c>
      <c r="D977" s="58" t="s">
        <v>47</v>
      </c>
      <c r="E977" s="59" t="s">
        <v>1544</v>
      </c>
      <c r="F977" s="437">
        <f>ROUND(10,15)</f>
        <v>10</v>
      </c>
      <c r="G977" s="437">
        <f t="shared" si="164"/>
        <v>11.040231051250013</v>
      </c>
      <c r="H977" s="439">
        <f t="shared" si="165"/>
        <v>110.40231051249999</v>
      </c>
      <c r="I977" s="520">
        <v>13.25</v>
      </c>
    </row>
    <row r="978" spans="1:9" ht="26.1" customHeight="1" thickBot="1">
      <c r="A978" s="92">
        <v>89492</v>
      </c>
      <c r="B978" s="93" t="s">
        <v>45</v>
      </c>
      <c r="C978" s="58" t="s">
        <v>46</v>
      </c>
      <c r="D978" s="58" t="s">
        <v>47</v>
      </c>
      <c r="E978" s="59" t="s">
        <v>1545</v>
      </c>
      <c r="F978" s="437">
        <f>ROUND(5,15)</f>
        <v>5</v>
      </c>
      <c r="G978" s="437">
        <f t="shared" si="164"/>
        <v>5.5909396493500063</v>
      </c>
      <c r="H978" s="439">
        <f t="shared" si="165"/>
        <v>27.954698246749999</v>
      </c>
      <c r="I978" s="520">
        <v>6.71</v>
      </c>
    </row>
    <row r="979" spans="1:9" ht="26.1" customHeight="1" thickBot="1">
      <c r="A979" s="96">
        <v>89362</v>
      </c>
      <c r="B979" s="97" t="s">
        <v>45</v>
      </c>
      <c r="C979" s="60" t="s">
        <v>46</v>
      </c>
      <c r="D979" s="60" t="s">
        <v>47</v>
      </c>
      <c r="E979" s="61" t="s">
        <v>551</v>
      </c>
      <c r="F979" s="442">
        <f>ROUND(41,15)</f>
        <v>41</v>
      </c>
      <c r="G979" s="442">
        <f t="shared" si="164"/>
        <v>6.6824643797000078</v>
      </c>
      <c r="H979" s="443">
        <f t="shared" si="165"/>
        <v>273.98103956770001</v>
      </c>
      <c r="I979" s="520">
        <v>8.02</v>
      </c>
    </row>
    <row r="980" spans="1:9" ht="26.1" customHeight="1" thickTop="1" thickBot="1">
      <c r="A980" s="90">
        <v>89502</v>
      </c>
      <c r="B980" s="91" t="s">
        <v>45</v>
      </c>
      <c r="C980" s="54" t="s">
        <v>46</v>
      </c>
      <c r="D980" s="54" t="s">
        <v>47</v>
      </c>
      <c r="E980" s="55" t="s">
        <v>1546</v>
      </c>
      <c r="F980" s="436">
        <f>ROUND(1,15)</f>
        <v>1</v>
      </c>
      <c r="G980" s="436">
        <f t="shared" si="164"/>
        <v>12.590029523350013</v>
      </c>
      <c r="H980" s="438">
        <f t="shared" si="165"/>
        <v>12.590029523349999</v>
      </c>
      <c r="I980" s="520">
        <v>15.11</v>
      </c>
    </row>
    <row r="981" spans="1:9" ht="26.1" customHeight="1" thickBot="1">
      <c r="A981" s="92">
        <v>89409</v>
      </c>
      <c r="B981" s="93" t="s">
        <v>45</v>
      </c>
      <c r="C981" s="58" t="s">
        <v>46</v>
      </c>
      <c r="D981" s="58" t="s">
        <v>47</v>
      </c>
      <c r="E981" s="59" t="s">
        <v>553</v>
      </c>
      <c r="F981" s="437">
        <f>ROUND(1,15)</f>
        <v>1</v>
      </c>
      <c r="G981" s="437">
        <f t="shared" si="164"/>
        <v>5.2909786547500062</v>
      </c>
      <c r="H981" s="439">
        <f t="shared" si="165"/>
        <v>5.2909786547500097</v>
      </c>
      <c r="I981" s="520">
        <v>6.35</v>
      </c>
    </row>
    <row r="982" spans="1:9" ht="26.1" customHeight="1" thickBot="1">
      <c r="A982" s="92">
        <v>89625</v>
      </c>
      <c r="B982" s="93" t="s">
        <v>45</v>
      </c>
      <c r="C982" s="58" t="s">
        <v>46</v>
      </c>
      <c r="D982" s="58" t="s">
        <v>47</v>
      </c>
      <c r="E982" s="59" t="s">
        <v>1547</v>
      </c>
      <c r="F982" s="437">
        <f>ROUND(3,15)</f>
        <v>3</v>
      </c>
      <c r="G982" s="437">
        <f t="shared" si="164"/>
        <v>17.364408687400019</v>
      </c>
      <c r="H982" s="439">
        <f t="shared" si="165"/>
        <v>52.093226062200102</v>
      </c>
      <c r="I982" s="520">
        <v>20.84</v>
      </c>
    </row>
    <row r="983" spans="1:9" ht="26.1" customHeight="1" thickBot="1">
      <c r="A983" s="92">
        <v>89443</v>
      </c>
      <c r="B983" s="93" t="s">
        <v>45</v>
      </c>
      <c r="C983" s="58" t="s">
        <v>46</v>
      </c>
      <c r="D983" s="58" t="s">
        <v>47</v>
      </c>
      <c r="E983" s="59" t="s">
        <v>1441</v>
      </c>
      <c r="F983" s="437">
        <f>ROUND(2,15)</f>
        <v>2</v>
      </c>
      <c r="G983" s="437">
        <f t="shared" si="164"/>
        <v>10.415312312500012</v>
      </c>
      <c r="H983" s="439">
        <f t="shared" si="165"/>
        <v>20.830624624999999</v>
      </c>
      <c r="I983" s="520">
        <v>12.5</v>
      </c>
    </row>
    <row r="984" spans="1:9" ht="26.1" customHeight="1" thickBot="1">
      <c r="A984" s="92">
        <v>89395</v>
      </c>
      <c r="B984" s="93" t="s">
        <v>45</v>
      </c>
      <c r="C984" s="58" t="s">
        <v>46</v>
      </c>
      <c r="D984" s="58" t="s">
        <v>47</v>
      </c>
      <c r="E984" s="59" t="s">
        <v>1548</v>
      </c>
      <c r="F984" s="437">
        <f>ROUND(12,15)</f>
        <v>12</v>
      </c>
      <c r="G984" s="437">
        <f t="shared" si="164"/>
        <v>9.3571165815500112</v>
      </c>
      <c r="H984" s="439">
        <f t="shared" si="165"/>
        <v>112.2853989786</v>
      </c>
      <c r="I984" s="520">
        <v>11.23</v>
      </c>
    </row>
    <row r="985" spans="1:9" ht="26.1" customHeight="1" thickBot="1">
      <c r="A985" s="92" t="s">
        <v>835</v>
      </c>
      <c r="B985" s="93" t="s">
        <v>148</v>
      </c>
      <c r="C985" s="58" t="s">
        <v>46</v>
      </c>
      <c r="D985" s="58" t="s">
        <v>47</v>
      </c>
      <c r="E985" s="59" t="s">
        <v>836</v>
      </c>
      <c r="F985" s="437">
        <f>ROUND(1,15)</f>
        <v>1</v>
      </c>
      <c r="G985" s="437">
        <f t="shared" si="164"/>
        <v>21.313895116300024</v>
      </c>
      <c r="H985" s="439">
        <f t="shared" si="165"/>
        <v>21.313895116299999</v>
      </c>
      <c r="I985" s="520">
        <v>25.58</v>
      </c>
    </row>
    <row r="986" spans="1:9" ht="26.1" customHeight="1" thickBot="1">
      <c r="A986" s="92">
        <v>89627</v>
      </c>
      <c r="B986" s="93" t="s">
        <v>45</v>
      </c>
      <c r="C986" s="58" t="s">
        <v>46</v>
      </c>
      <c r="D986" s="58" t="s">
        <v>47</v>
      </c>
      <c r="E986" s="59" t="s">
        <v>557</v>
      </c>
      <c r="F986" s="437">
        <f>ROUND(3,15)</f>
        <v>3</v>
      </c>
      <c r="G986" s="437">
        <f t="shared" si="164"/>
        <v>16.33954195585002</v>
      </c>
      <c r="H986" s="439">
        <f t="shared" si="165"/>
        <v>49.018625867550099</v>
      </c>
      <c r="I986" s="520">
        <v>19.61</v>
      </c>
    </row>
    <row r="987" spans="1:9" ht="26.1" customHeight="1" thickBot="1">
      <c r="A987" s="92">
        <v>89445</v>
      </c>
      <c r="B987" s="93" t="s">
        <v>45</v>
      </c>
      <c r="C987" s="58" t="s">
        <v>46</v>
      </c>
      <c r="D987" s="58" t="s">
        <v>47</v>
      </c>
      <c r="E987" s="59" t="s">
        <v>559</v>
      </c>
      <c r="F987" s="437">
        <f>ROUND(8,15)</f>
        <v>8</v>
      </c>
      <c r="G987" s="437">
        <f t="shared" si="164"/>
        <v>12.165084781000013</v>
      </c>
      <c r="H987" s="439">
        <f t="shared" si="165"/>
        <v>97.320678248000107</v>
      </c>
      <c r="I987" s="520">
        <v>14.6</v>
      </c>
    </row>
    <row r="988" spans="1:9" ht="15" thickBot="1">
      <c r="A988" s="94" t="s">
        <v>837</v>
      </c>
      <c r="B988" s="95" t="s">
        <v>148</v>
      </c>
      <c r="C988" s="74" t="s">
        <v>46</v>
      </c>
      <c r="D988" s="74" t="s">
        <v>47</v>
      </c>
      <c r="E988" s="78" t="s">
        <v>838</v>
      </c>
      <c r="F988" s="440">
        <f>ROUND(1,15)</f>
        <v>1</v>
      </c>
      <c r="G988" s="440">
        <f t="shared" si="164"/>
        <v>9.5570905779500119</v>
      </c>
      <c r="H988" s="441">
        <f t="shared" si="165"/>
        <v>9.5570905779500102</v>
      </c>
      <c r="I988" s="520">
        <v>11.47</v>
      </c>
    </row>
    <row r="989" spans="1:9" ht="15" thickBot="1">
      <c r="A989" s="94" t="s">
        <v>566</v>
      </c>
      <c r="B989" s="95" t="s">
        <v>148</v>
      </c>
      <c r="C989" s="74" t="s">
        <v>46</v>
      </c>
      <c r="D989" s="74" t="s">
        <v>47</v>
      </c>
      <c r="E989" s="78" t="s">
        <v>567</v>
      </c>
      <c r="F989" s="440">
        <f>ROUND(4,15)</f>
        <v>4</v>
      </c>
      <c r="G989" s="440">
        <f t="shared" si="164"/>
        <v>8.5738850956500094</v>
      </c>
      <c r="H989" s="441">
        <f t="shared" si="165"/>
        <v>34.295540382600002</v>
      </c>
      <c r="I989" s="520">
        <v>10.29</v>
      </c>
    </row>
    <row r="990" spans="1:9" ht="15" thickBot="1">
      <c r="A990" s="94" t="s">
        <v>573</v>
      </c>
      <c r="B990" s="95" t="s">
        <v>148</v>
      </c>
      <c r="C990" s="74" t="s">
        <v>46</v>
      </c>
      <c r="D990" s="74" t="s">
        <v>47</v>
      </c>
      <c r="E990" s="78" t="s">
        <v>574</v>
      </c>
      <c r="F990" s="440">
        <f>ROUND(5,15)</f>
        <v>5</v>
      </c>
      <c r="G990" s="440">
        <f t="shared" si="164"/>
        <v>4.4327569202000054</v>
      </c>
      <c r="H990" s="441">
        <f t="shared" si="165"/>
        <v>22.163784601</v>
      </c>
      <c r="I990" s="520">
        <v>5.32</v>
      </c>
    </row>
    <row r="991" spans="1:9" ht="36" customHeight="1" thickBot="1">
      <c r="A991" s="92">
        <v>94711</v>
      </c>
      <c r="B991" s="93" t="s">
        <v>45</v>
      </c>
      <c r="C991" s="58" t="s">
        <v>46</v>
      </c>
      <c r="D991" s="58" t="s">
        <v>47</v>
      </c>
      <c r="E991" s="59" t="s">
        <v>839</v>
      </c>
      <c r="F991" s="437">
        <f>ROUND(4,15)</f>
        <v>4</v>
      </c>
      <c r="G991" s="437">
        <f t="shared" si="164"/>
        <v>48.835316370850059</v>
      </c>
      <c r="H991" s="439">
        <f t="shared" si="165"/>
        <v>195.34126548340001</v>
      </c>
      <c r="I991" s="520">
        <v>58.61</v>
      </c>
    </row>
    <row r="992" spans="1:9" ht="26.1" customHeight="1" thickBot="1">
      <c r="A992" s="92">
        <v>90373</v>
      </c>
      <c r="B992" s="93" t="s">
        <v>45</v>
      </c>
      <c r="C992" s="58" t="s">
        <v>46</v>
      </c>
      <c r="D992" s="58" t="s">
        <v>47</v>
      </c>
      <c r="E992" s="59" t="s">
        <v>575</v>
      </c>
      <c r="F992" s="437">
        <f>ROUND(26,15)</f>
        <v>26</v>
      </c>
      <c r="G992" s="437">
        <f t="shared" si="164"/>
        <v>11.406850044650012</v>
      </c>
      <c r="H992" s="439">
        <f t="shared" si="165"/>
        <v>296.57810116090002</v>
      </c>
      <c r="I992" s="520">
        <v>13.69</v>
      </c>
    </row>
    <row r="993" spans="1:9" ht="26.1" customHeight="1" thickBot="1">
      <c r="A993" s="92">
        <v>89366</v>
      </c>
      <c r="B993" s="93" t="s">
        <v>45</v>
      </c>
      <c r="C993" s="58" t="s">
        <v>46</v>
      </c>
      <c r="D993" s="58" t="s">
        <v>47</v>
      </c>
      <c r="E993" s="59" t="s">
        <v>576</v>
      </c>
      <c r="F993" s="437">
        <f>ROUND(3,15)</f>
        <v>3</v>
      </c>
      <c r="G993" s="437">
        <f t="shared" si="164"/>
        <v>12.398387776800016</v>
      </c>
      <c r="H993" s="439">
        <f t="shared" si="165"/>
        <v>37.1951633304</v>
      </c>
      <c r="I993" s="520">
        <v>14.88</v>
      </c>
    </row>
    <row r="994" spans="1:9" ht="26.1" customHeight="1" thickBot="1">
      <c r="A994" s="92">
        <v>89381</v>
      </c>
      <c r="B994" s="93" t="s">
        <v>45</v>
      </c>
      <c r="C994" s="58" t="s">
        <v>46</v>
      </c>
      <c r="D994" s="58" t="s">
        <v>47</v>
      </c>
      <c r="E994" s="59" t="s">
        <v>579</v>
      </c>
      <c r="F994" s="437">
        <f>ROUND(2,15)</f>
        <v>2</v>
      </c>
      <c r="G994" s="437">
        <f t="shared" si="164"/>
        <v>10.265331815200012</v>
      </c>
      <c r="H994" s="439">
        <f t="shared" si="165"/>
        <v>20.530663630399999</v>
      </c>
      <c r="I994" s="520">
        <v>12.32</v>
      </c>
    </row>
    <row r="995" spans="1:9" ht="26.1" customHeight="1" thickBot="1">
      <c r="A995" s="92">
        <v>89396</v>
      </c>
      <c r="B995" s="93" t="s">
        <v>45</v>
      </c>
      <c r="C995" s="58" t="s">
        <v>46</v>
      </c>
      <c r="D995" s="58" t="s">
        <v>47</v>
      </c>
      <c r="E995" s="59" t="s">
        <v>577</v>
      </c>
      <c r="F995" s="437">
        <f>ROUND(3,15)</f>
        <v>3</v>
      </c>
      <c r="G995" s="437">
        <f t="shared" si="164"/>
        <v>15.981255212300018</v>
      </c>
      <c r="H995" s="439">
        <f t="shared" si="165"/>
        <v>47.943765636900103</v>
      </c>
      <c r="I995" s="520">
        <v>19.18</v>
      </c>
    </row>
    <row r="996" spans="1:9" ht="26.1" customHeight="1" thickBot="1">
      <c r="A996" s="92">
        <v>90374</v>
      </c>
      <c r="B996" s="93" t="s">
        <v>45</v>
      </c>
      <c r="C996" s="58" t="s">
        <v>46</v>
      </c>
      <c r="D996" s="58" t="s">
        <v>47</v>
      </c>
      <c r="E996" s="59" t="s">
        <v>578</v>
      </c>
      <c r="F996" s="437">
        <f>ROUND(3,15)</f>
        <v>3</v>
      </c>
      <c r="G996" s="437">
        <f t="shared" si="164"/>
        <v>17.91433717750002</v>
      </c>
      <c r="H996" s="439">
        <f t="shared" si="165"/>
        <v>53.743011532500098</v>
      </c>
      <c r="I996" s="520">
        <v>21.5</v>
      </c>
    </row>
    <row r="997" spans="1:9" ht="36" customHeight="1" thickBot="1">
      <c r="A997" s="92">
        <v>94792</v>
      </c>
      <c r="B997" s="93" t="s">
        <v>45</v>
      </c>
      <c r="C997" s="58" t="s">
        <v>46</v>
      </c>
      <c r="D997" s="58" t="s">
        <v>47</v>
      </c>
      <c r="E997" s="59" t="s">
        <v>586</v>
      </c>
      <c r="F997" s="437">
        <f>ROUND(2,15)</f>
        <v>2</v>
      </c>
      <c r="G997" s="437">
        <f t="shared" si="164"/>
        <v>101.63678367030012</v>
      </c>
      <c r="H997" s="439">
        <f t="shared" si="165"/>
        <v>203.27356734060001</v>
      </c>
      <c r="I997" s="520">
        <v>121.98</v>
      </c>
    </row>
    <row r="998" spans="1:9" ht="26.1" customHeight="1" thickBot="1">
      <c r="A998" s="92">
        <v>89987</v>
      </c>
      <c r="B998" s="93" t="s">
        <v>45</v>
      </c>
      <c r="C998" s="58" t="s">
        <v>46</v>
      </c>
      <c r="D998" s="58" t="s">
        <v>47</v>
      </c>
      <c r="E998" s="59" t="s">
        <v>587</v>
      </c>
      <c r="F998" s="437">
        <f>ROUND(10,15)</f>
        <v>10</v>
      </c>
      <c r="G998" s="437">
        <f t="shared" si="164"/>
        <v>70.807459225300093</v>
      </c>
      <c r="H998" s="439">
        <f t="shared" si="165"/>
        <v>708.07459225300101</v>
      </c>
      <c r="I998" s="520">
        <v>84.98</v>
      </c>
    </row>
    <row r="999" spans="1:9" ht="26.1" customHeight="1" thickBot="1">
      <c r="A999" s="92">
        <v>89985</v>
      </c>
      <c r="B999" s="93" t="s">
        <v>45</v>
      </c>
      <c r="C999" s="58" t="s">
        <v>46</v>
      </c>
      <c r="D999" s="58" t="s">
        <v>47</v>
      </c>
      <c r="E999" s="59" t="s">
        <v>588</v>
      </c>
      <c r="F999" s="437">
        <f>ROUND(2,15)</f>
        <v>2</v>
      </c>
      <c r="G999" s="437">
        <f t="shared" si="164"/>
        <v>67.307914288300083</v>
      </c>
      <c r="H999" s="439">
        <f t="shared" si="165"/>
        <v>134.61582857659999</v>
      </c>
      <c r="I999" s="520">
        <v>80.78</v>
      </c>
    </row>
    <row r="1000" spans="1:9" ht="34.5" thickBot="1">
      <c r="A1000" s="96">
        <v>94497</v>
      </c>
      <c r="B1000" s="97" t="s">
        <v>45</v>
      </c>
      <c r="C1000" s="60" t="s">
        <v>46</v>
      </c>
      <c r="D1000" s="60" t="s">
        <v>47</v>
      </c>
      <c r="E1000" s="61" t="s">
        <v>585</v>
      </c>
      <c r="F1000" s="442">
        <f>ROUND(4,15)</f>
        <v>4</v>
      </c>
      <c r="G1000" s="437">
        <f t="shared" si="164"/>
        <v>95.412593032350117</v>
      </c>
      <c r="H1000" s="443">
        <f t="shared" si="165"/>
        <v>381.65037212940001</v>
      </c>
      <c r="I1000" s="520">
        <v>114.51</v>
      </c>
    </row>
    <row r="1001" spans="1:9" ht="15.75" thickTop="1" thickBot="1">
      <c r="A1001" s="51"/>
      <c r="B1001" s="52"/>
      <c r="C1001" s="52"/>
      <c r="D1001" s="136"/>
      <c r="E1001" s="524" t="s">
        <v>834</v>
      </c>
      <c r="F1001" s="387"/>
      <c r="G1001" s="388">
        <f>H974+H975+H976+H977+H978+H979+H980+H981+H982+H983+H984+H985+H986+H987+H988+H989+H990+H991+H992+H993+H994+H995+H996+H997+H998+H999+H1000</f>
        <v>4103.6875440390213</v>
      </c>
      <c r="H1001" s="389">
        <f>ROUND(G1001,15)</f>
        <v>4103.6875440390204</v>
      </c>
      <c r="I1001" s="520"/>
    </row>
    <row r="1002" spans="1:9" ht="15.75" thickTop="1" thickBot="1">
      <c r="A1002" s="272" t="s">
        <v>840</v>
      </c>
      <c r="B1002" s="273"/>
      <c r="C1002" s="273" t="s">
        <v>38</v>
      </c>
      <c r="D1002" s="274"/>
      <c r="E1002" s="353" t="s">
        <v>590</v>
      </c>
      <c r="F1002" s="276"/>
      <c r="G1002" s="277">
        <f>G1011</f>
        <v>4939.3910400794039</v>
      </c>
      <c r="H1002" s="278">
        <f>ROUND(G1002,15)</f>
        <v>4939.3910400794002</v>
      </c>
      <c r="I1002" s="520"/>
    </row>
    <row r="1003" spans="1:9" ht="15.75" thickTop="1" thickBot="1">
      <c r="A1003" s="100">
        <v>86886</v>
      </c>
      <c r="B1003" s="101" t="s">
        <v>45</v>
      </c>
      <c r="C1003" s="64" t="s">
        <v>46</v>
      </c>
      <c r="D1003" s="64" t="s">
        <v>47</v>
      </c>
      <c r="E1003" s="65" t="s">
        <v>591</v>
      </c>
      <c r="F1003" s="446">
        <f>ROUND(4,15)</f>
        <v>4</v>
      </c>
      <c r="G1003" s="437">
        <f t="shared" ref="G1003:G1010" si="166">I1003*(100%-$I$14)</f>
        <v>31.929181425200039</v>
      </c>
      <c r="H1003" s="447">
        <f t="shared" ref="H1003:H1010" si="167">ROUND(F1003*G1003,15)</f>
        <v>127.7167257008</v>
      </c>
      <c r="I1003" s="520">
        <v>38.32</v>
      </c>
    </row>
    <row r="1004" spans="1:9" ht="26.1" customHeight="1" thickBot="1">
      <c r="A1004" s="92" t="s">
        <v>841</v>
      </c>
      <c r="B1004" s="93" t="s">
        <v>148</v>
      </c>
      <c r="C1004" s="58" t="s">
        <v>46</v>
      </c>
      <c r="D1004" s="58" t="s">
        <v>47</v>
      </c>
      <c r="E1004" s="59" t="s">
        <v>842</v>
      </c>
      <c r="F1004" s="437">
        <f>ROUND(2,15)</f>
        <v>2</v>
      </c>
      <c r="G1004" s="437">
        <f t="shared" si="166"/>
        <v>51.409981574500065</v>
      </c>
      <c r="H1004" s="439">
        <f t="shared" si="167"/>
        <v>102.819963149</v>
      </c>
      <c r="I1004" s="520">
        <v>61.7</v>
      </c>
    </row>
    <row r="1005" spans="1:9" ht="15" thickBot="1">
      <c r="A1005" s="94" t="s">
        <v>592</v>
      </c>
      <c r="B1005" s="95" t="s">
        <v>57</v>
      </c>
      <c r="C1005" s="74" t="s">
        <v>46</v>
      </c>
      <c r="D1005" s="74" t="s">
        <v>47</v>
      </c>
      <c r="E1005" s="78" t="s">
        <v>593</v>
      </c>
      <c r="F1005" s="440">
        <f>ROUND(4,15)</f>
        <v>4</v>
      </c>
      <c r="G1005" s="440">
        <f t="shared" si="166"/>
        <v>63.441750357900077</v>
      </c>
      <c r="H1005" s="441">
        <f t="shared" si="167"/>
        <v>253.76700143159999</v>
      </c>
      <c r="I1005" s="520">
        <v>76.14</v>
      </c>
    </row>
    <row r="1006" spans="1:9" ht="26.1" customHeight="1" thickBot="1">
      <c r="A1006" s="92">
        <v>86938</v>
      </c>
      <c r="B1006" s="93" t="s">
        <v>45</v>
      </c>
      <c r="C1006" s="58" t="s">
        <v>46</v>
      </c>
      <c r="D1006" s="58" t="s">
        <v>47</v>
      </c>
      <c r="E1006" s="59" t="s">
        <v>596</v>
      </c>
      <c r="F1006" s="437">
        <f>ROUND(4,15)</f>
        <v>4</v>
      </c>
      <c r="G1006" s="437">
        <f t="shared" si="166"/>
        <v>249.62587325615027</v>
      </c>
      <c r="H1006" s="439">
        <f t="shared" si="167"/>
        <v>998.50349302460097</v>
      </c>
      <c r="I1006" s="520">
        <v>299.58999999999997</v>
      </c>
    </row>
    <row r="1007" spans="1:9" ht="26.1" customHeight="1" thickBot="1">
      <c r="A1007" s="92">
        <v>86910</v>
      </c>
      <c r="B1007" s="93" t="s">
        <v>45</v>
      </c>
      <c r="C1007" s="58" t="s">
        <v>46</v>
      </c>
      <c r="D1007" s="58" t="s">
        <v>47</v>
      </c>
      <c r="E1007" s="59" t="s">
        <v>604</v>
      </c>
      <c r="F1007" s="437">
        <f>ROUND(8,15)</f>
        <v>8</v>
      </c>
      <c r="G1007" s="437">
        <f t="shared" si="166"/>
        <v>82.822563509000105</v>
      </c>
      <c r="H1007" s="439">
        <f t="shared" si="167"/>
        <v>662.58050807200095</v>
      </c>
      <c r="I1007" s="520">
        <v>99.4</v>
      </c>
    </row>
    <row r="1008" spans="1:9" ht="15.95" customHeight="1" thickBot="1">
      <c r="A1008" s="94" t="s">
        <v>605</v>
      </c>
      <c r="B1008" s="95" t="s">
        <v>148</v>
      </c>
      <c r="C1008" s="74" t="s">
        <v>46</v>
      </c>
      <c r="D1008" s="74" t="s">
        <v>47</v>
      </c>
      <c r="E1008" s="78" t="s">
        <v>606</v>
      </c>
      <c r="F1008" s="440">
        <f>ROUND(12,15)</f>
        <v>12</v>
      </c>
      <c r="G1008" s="440">
        <f t="shared" si="166"/>
        <v>53.051434794950062</v>
      </c>
      <c r="H1008" s="441">
        <f t="shared" si="167"/>
        <v>636.61721753940105</v>
      </c>
      <c r="I1008" s="520">
        <v>63.67</v>
      </c>
    </row>
    <row r="1009" spans="1:9" ht="26.1" customHeight="1" thickBot="1">
      <c r="A1009" s="92" t="s">
        <v>600</v>
      </c>
      <c r="B1009" s="93" t="s">
        <v>148</v>
      </c>
      <c r="C1009" s="58" t="s">
        <v>46</v>
      </c>
      <c r="D1009" s="58" t="s">
        <v>47</v>
      </c>
      <c r="E1009" s="59" t="s">
        <v>601</v>
      </c>
      <c r="F1009" s="437">
        <f>ROUND(4,15)</f>
        <v>4</v>
      </c>
      <c r="G1009" s="437">
        <f t="shared" si="166"/>
        <v>141.24829945720018</v>
      </c>
      <c r="H1009" s="439">
        <f t="shared" si="167"/>
        <v>564.99319782880104</v>
      </c>
      <c r="I1009" s="520">
        <v>169.52</v>
      </c>
    </row>
    <row r="1010" spans="1:9" ht="36" customHeight="1" thickBot="1">
      <c r="A1010" s="96" t="s">
        <v>843</v>
      </c>
      <c r="B1010" s="97" t="s">
        <v>148</v>
      </c>
      <c r="C1010" s="60" t="s">
        <v>46</v>
      </c>
      <c r="D1010" s="60" t="s">
        <v>47</v>
      </c>
      <c r="E1010" s="61" t="s">
        <v>844</v>
      </c>
      <c r="F1010" s="442">
        <f>ROUND(4,15)</f>
        <v>4</v>
      </c>
      <c r="G1010" s="437">
        <f t="shared" si="166"/>
        <v>398.09823333330047</v>
      </c>
      <c r="H1010" s="443">
        <f t="shared" si="167"/>
        <v>1592.3929333332001</v>
      </c>
      <c r="I1010" s="520">
        <v>477.78</v>
      </c>
    </row>
    <row r="1011" spans="1:9" ht="15.95" customHeight="1" thickTop="1" thickBot="1">
      <c r="A1011" s="51"/>
      <c r="B1011" s="52"/>
      <c r="C1011" s="52"/>
      <c r="D1011" s="136"/>
      <c r="E1011" s="524" t="s">
        <v>840</v>
      </c>
      <c r="F1011" s="387"/>
      <c r="G1011" s="388">
        <f>H1003+H1004+H1005+H1006+H1007+H1008+H1009+H1010</f>
        <v>4939.3910400794039</v>
      </c>
      <c r="H1011" s="389">
        <f>ROUND(G1011,15)</f>
        <v>4939.3910400794002</v>
      </c>
      <c r="I1011" s="520"/>
    </row>
    <row r="1012" spans="1:9" ht="15.75" thickTop="1" thickBot="1">
      <c r="A1012" s="272" t="s">
        <v>845</v>
      </c>
      <c r="B1012" s="273"/>
      <c r="C1012" s="273" t="s">
        <v>38</v>
      </c>
      <c r="D1012" s="274"/>
      <c r="E1012" s="353" t="s">
        <v>846</v>
      </c>
      <c r="F1012" s="276"/>
      <c r="G1012" s="277">
        <f>G1014</f>
        <v>647.01586535220099</v>
      </c>
      <c r="H1012" s="278">
        <f>ROUND(G1012,15)</f>
        <v>647.01586535220099</v>
      </c>
      <c r="I1012" s="520"/>
    </row>
    <row r="1013" spans="1:9" ht="26.1" customHeight="1" thickTop="1" thickBot="1">
      <c r="A1013" s="98" t="s">
        <v>847</v>
      </c>
      <c r="B1013" s="99" t="s">
        <v>57</v>
      </c>
      <c r="C1013" s="70" t="s">
        <v>46</v>
      </c>
      <c r="D1013" s="70" t="s">
        <v>47</v>
      </c>
      <c r="E1013" s="71" t="s">
        <v>1406</v>
      </c>
      <c r="F1013" s="444">
        <f>ROUND(3,15)</f>
        <v>3</v>
      </c>
      <c r="G1013" s="437">
        <f t="shared" ref="G1013" si="168">I1013*(100%-$I$14)</f>
        <v>215.67195511740024</v>
      </c>
      <c r="H1013" s="445">
        <f>ROUND(F1013*G1013,15)</f>
        <v>647.01586535220099</v>
      </c>
      <c r="I1013" s="520">
        <v>258.83999999999997</v>
      </c>
    </row>
    <row r="1014" spans="1:9" ht="15.75" thickTop="1" thickBot="1">
      <c r="A1014" s="85"/>
      <c r="B1014" s="86"/>
      <c r="C1014" s="86"/>
      <c r="D1014" s="112"/>
      <c r="E1014" s="524" t="s">
        <v>845</v>
      </c>
      <c r="F1014" s="387"/>
      <c r="G1014" s="388">
        <f>H1013</f>
        <v>647.01586535220099</v>
      </c>
      <c r="H1014" s="389">
        <f>ROUND(G1014,15)</f>
        <v>647.01586535220099</v>
      </c>
      <c r="I1014" s="520"/>
    </row>
    <row r="1015" spans="1:9" ht="15.75" thickTop="1" thickBot="1">
      <c r="A1015" s="114"/>
      <c r="B1015" s="115"/>
      <c r="C1015" s="115"/>
      <c r="D1015" s="116"/>
      <c r="E1015" s="529" t="s">
        <v>823</v>
      </c>
      <c r="F1015" s="530"/>
      <c r="G1015" s="531">
        <f>H958+H972+H1001+H1011+H1014</f>
        <v>13601.731383459504</v>
      </c>
      <c r="H1015" s="532">
        <f>ROUND(G1015,15)</f>
        <v>13601.731383459501</v>
      </c>
      <c r="I1015" s="520"/>
    </row>
    <row r="1016" spans="1:9" ht="15.75" thickTop="1" thickBot="1">
      <c r="A1016" s="279" t="s">
        <v>848</v>
      </c>
      <c r="B1016" s="280"/>
      <c r="C1016" s="280" t="s">
        <v>38</v>
      </c>
      <c r="D1016" s="281"/>
      <c r="E1016" s="354" t="s">
        <v>652</v>
      </c>
      <c r="F1016" s="283"/>
      <c r="G1016" s="284">
        <f>G1031</f>
        <v>18459.0554284463</v>
      </c>
      <c r="H1016" s="285">
        <f>ROUND(G1016,15)</f>
        <v>18459.0554284463</v>
      </c>
      <c r="I1016" s="520"/>
    </row>
    <row r="1017" spans="1:9" ht="15" thickBot="1">
      <c r="A1017" s="355" t="s">
        <v>849</v>
      </c>
      <c r="B1017" s="356"/>
      <c r="C1017" s="356" t="s">
        <v>38</v>
      </c>
      <c r="D1017" s="357"/>
      <c r="E1017" s="358" t="s">
        <v>654</v>
      </c>
      <c r="F1017" s="359"/>
      <c r="G1017" s="360">
        <f>G1027</f>
        <v>18130.898100353934</v>
      </c>
      <c r="H1017" s="361">
        <f>ROUND(G1017,15)</f>
        <v>18130.898100353901</v>
      </c>
      <c r="I1017" s="520"/>
    </row>
    <row r="1018" spans="1:9" ht="36" customHeight="1" thickTop="1" thickBot="1">
      <c r="A1018" s="90">
        <v>90698</v>
      </c>
      <c r="B1018" s="91" t="s">
        <v>45</v>
      </c>
      <c r="C1018" s="54" t="s">
        <v>46</v>
      </c>
      <c r="D1018" s="54" t="s">
        <v>68</v>
      </c>
      <c r="E1018" s="55" t="s">
        <v>850</v>
      </c>
      <c r="F1018" s="436">
        <f>ROUND(64.7,15)</f>
        <v>64.7</v>
      </c>
      <c r="G1018" s="437">
        <f t="shared" ref="G1018:G1026" si="169">I1018*(100%-$I$14)</f>
        <v>217.18009234025024</v>
      </c>
      <c r="H1018" s="438">
        <f t="shared" ref="H1018:H1026" si="170">ROUND(F1018*G1018,15)</f>
        <v>14051.5519744142</v>
      </c>
      <c r="I1018" s="520">
        <v>260.64999999999998</v>
      </c>
    </row>
    <row r="1019" spans="1:9" ht="36" customHeight="1" thickBot="1">
      <c r="A1019" s="92">
        <v>90697</v>
      </c>
      <c r="B1019" s="93" t="s">
        <v>45</v>
      </c>
      <c r="C1019" s="58" t="s">
        <v>46</v>
      </c>
      <c r="D1019" s="58" t="s">
        <v>68</v>
      </c>
      <c r="E1019" s="59" t="s">
        <v>655</v>
      </c>
      <c r="F1019" s="437">
        <f>ROUND(4.36,15)</f>
        <v>4.3600000000000003</v>
      </c>
      <c r="G1019" s="437">
        <f t="shared" si="169"/>
        <v>135.46571806130018</v>
      </c>
      <c r="H1019" s="439">
        <f t="shared" si="170"/>
        <v>590.63053074726895</v>
      </c>
      <c r="I1019" s="520">
        <v>162.58000000000001</v>
      </c>
    </row>
    <row r="1020" spans="1:9" ht="36" customHeight="1" thickBot="1">
      <c r="A1020" s="92">
        <v>90696</v>
      </c>
      <c r="B1020" s="93" t="s">
        <v>45</v>
      </c>
      <c r="C1020" s="58" t="s">
        <v>46</v>
      </c>
      <c r="D1020" s="58" t="s">
        <v>68</v>
      </c>
      <c r="E1020" s="59" t="s">
        <v>656</v>
      </c>
      <c r="F1020" s="437">
        <f>ROUND(6.2,15)</f>
        <v>6.2</v>
      </c>
      <c r="G1020" s="437">
        <f t="shared" si="169"/>
        <v>80.3645498032501</v>
      </c>
      <c r="H1020" s="439">
        <f t="shared" si="170"/>
        <v>498.260208780151</v>
      </c>
      <c r="I1020" s="520">
        <v>96.45</v>
      </c>
    </row>
    <row r="1021" spans="1:9" ht="26.1" customHeight="1" thickBot="1">
      <c r="A1021" s="92">
        <v>89580</v>
      </c>
      <c r="B1021" s="93" t="s">
        <v>45</v>
      </c>
      <c r="C1021" s="58" t="s">
        <v>46</v>
      </c>
      <c r="D1021" s="58" t="s">
        <v>68</v>
      </c>
      <c r="E1021" s="59" t="s">
        <v>657</v>
      </c>
      <c r="F1021" s="437">
        <f>ROUND(18.81,15)</f>
        <v>18.809999999999999</v>
      </c>
      <c r="G1021" s="437">
        <f t="shared" si="169"/>
        <v>67.799517029450087</v>
      </c>
      <c r="H1021" s="439">
        <f t="shared" si="170"/>
        <v>1275.30891532396</v>
      </c>
      <c r="I1021" s="520">
        <v>81.37</v>
      </c>
    </row>
    <row r="1022" spans="1:9" ht="26.1" customHeight="1" thickBot="1">
      <c r="A1022" s="92">
        <v>89578</v>
      </c>
      <c r="B1022" s="93" t="s">
        <v>45</v>
      </c>
      <c r="C1022" s="58" t="s">
        <v>46</v>
      </c>
      <c r="D1022" s="58" t="s">
        <v>68</v>
      </c>
      <c r="E1022" s="59" t="s">
        <v>851</v>
      </c>
      <c r="F1022" s="437">
        <f>ROUND(29.59,15)</f>
        <v>29.59</v>
      </c>
      <c r="G1022" s="437">
        <f t="shared" si="169"/>
        <v>34.378862881100041</v>
      </c>
      <c r="H1022" s="439">
        <f t="shared" si="170"/>
        <v>1017.27055265175</v>
      </c>
      <c r="I1022" s="520">
        <v>41.26</v>
      </c>
    </row>
    <row r="1023" spans="1:9" ht="26.1" customHeight="1" thickBot="1">
      <c r="A1023" s="92">
        <v>89590</v>
      </c>
      <c r="B1023" s="93" t="s">
        <v>45</v>
      </c>
      <c r="C1023" s="58" t="s">
        <v>46</v>
      </c>
      <c r="D1023" s="58" t="s">
        <v>47</v>
      </c>
      <c r="E1023" s="59" t="s">
        <v>852</v>
      </c>
      <c r="F1023" s="437">
        <f>ROUND(2,15)</f>
        <v>2</v>
      </c>
      <c r="G1023" s="437">
        <f t="shared" si="169"/>
        <v>100.08698519820013</v>
      </c>
      <c r="H1023" s="439">
        <f t="shared" si="170"/>
        <v>200.17397039639999</v>
      </c>
      <c r="I1023" s="520">
        <v>120.12</v>
      </c>
    </row>
    <row r="1024" spans="1:9" ht="26.1" customHeight="1" thickBot="1">
      <c r="A1024" s="92">
        <v>89584</v>
      </c>
      <c r="B1024" s="93" t="s">
        <v>45</v>
      </c>
      <c r="C1024" s="58" t="s">
        <v>46</v>
      </c>
      <c r="D1024" s="58" t="s">
        <v>47</v>
      </c>
      <c r="E1024" s="59" t="s">
        <v>853</v>
      </c>
      <c r="F1024" s="437">
        <f>ROUND(2,15)</f>
        <v>2</v>
      </c>
      <c r="G1024" s="437">
        <f t="shared" si="169"/>
        <v>31.712542929100039</v>
      </c>
      <c r="H1024" s="439">
        <f t="shared" si="170"/>
        <v>63.425085858200099</v>
      </c>
      <c r="I1024" s="520">
        <v>38.06</v>
      </c>
    </row>
    <row r="1025" spans="1:9" ht="26.1" customHeight="1" thickBot="1">
      <c r="A1025" s="92">
        <v>89679</v>
      </c>
      <c r="B1025" s="93" t="s">
        <v>45</v>
      </c>
      <c r="C1025" s="58" t="s">
        <v>46</v>
      </c>
      <c r="D1025" s="58" t="s">
        <v>47</v>
      </c>
      <c r="E1025" s="59" t="s">
        <v>854</v>
      </c>
      <c r="F1025" s="437">
        <f>ROUND(4,15)</f>
        <v>4</v>
      </c>
      <c r="G1025" s="437">
        <f t="shared" si="169"/>
        <v>82.105990021900098</v>
      </c>
      <c r="H1025" s="439">
        <f t="shared" si="170"/>
        <v>328.42396008759999</v>
      </c>
      <c r="I1025" s="520">
        <v>98.54</v>
      </c>
    </row>
    <row r="1026" spans="1:9" ht="26.1" customHeight="1" thickBot="1">
      <c r="A1026" s="96">
        <v>89671</v>
      </c>
      <c r="B1026" s="97" t="s">
        <v>45</v>
      </c>
      <c r="C1026" s="60" t="s">
        <v>46</v>
      </c>
      <c r="D1026" s="60" t="s">
        <v>47</v>
      </c>
      <c r="E1026" s="61" t="s">
        <v>855</v>
      </c>
      <c r="F1026" s="442">
        <f>ROUND(4,15)</f>
        <v>4</v>
      </c>
      <c r="G1026" s="437">
        <f t="shared" si="169"/>
        <v>26.46322552360003</v>
      </c>
      <c r="H1026" s="443">
        <f t="shared" si="170"/>
        <v>105.85290209439999</v>
      </c>
      <c r="I1026" s="520">
        <v>31.76</v>
      </c>
    </row>
    <row r="1027" spans="1:9" ht="15.75" thickTop="1" thickBot="1">
      <c r="A1027" s="51"/>
      <c r="B1027" s="52"/>
      <c r="C1027" s="52"/>
      <c r="D1027" s="136"/>
      <c r="E1027" s="524" t="s">
        <v>849</v>
      </c>
      <c r="F1027" s="387"/>
      <c r="G1027" s="388">
        <f>H1018+H1019+H1020+H1021+H1022+H1023+H1024+H1025+H1026</f>
        <v>18130.898100353934</v>
      </c>
      <c r="H1027" s="389">
        <f>ROUND(G1027,15)</f>
        <v>18130.898100353901</v>
      </c>
      <c r="I1027" s="520"/>
    </row>
    <row r="1028" spans="1:9" ht="15.75" thickTop="1" thickBot="1">
      <c r="A1028" s="272" t="s">
        <v>856</v>
      </c>
      <c r="B1028" s="273"/>
      <c r="C1028" s="273" t="s">
        <v>38</v>
      </c>
      <c r="D1028" s="274"/>
      <c r="E1028" s="353" t="s">
        <v>663</v>
      </c>
      <c r="F1028" s="276"/>
      <c r="G1028" s="277">
        <f>G1030</f>
        <v>328.15732809240001</v>
      </c>
      <c r="H1028" s="278">
        <f>ROUND(G1028,15)</f>
        <v>328.15732809240001</v>
      </c>
      <c r="I1028" s="520"/>
    </row>
    <row r="1029" spans="1:9" ht="15.75" thickTop="1" thickBot="1">
      <c r="A1029" s="109">
        <v>72285</v>
      </c>
      <c r="B1029" s="110" t="s">
        <v>45</v>
      </c>
      <c r="C1029" s="89" t="s">
        <v>46</v>
      </c>
      <c r="D1029" s="89" t="s">
        <v>47</v>
      </c>
      <c r="E1029" s="108" t="s">
        <v>664</v>
      </c>
      <c r="F1029" s="513">
        <f>ROUND(4,15)</f>
        <v>4</v>
      </c>
      <c r="G1029" s="440">
        <f t="shared" ref="G1029" si="171">I1029*(100%-$I$14)</f>
        <v>82.039332023100087</v>
      </c>
      <c r="H1029" s="514">
        <f>ROUND(F1029*G1029,15)</f>
        <v>328.15732809240001</v>
      </c>
      <c r="I1029" s="520">
        <v>98.46</v>
      </c>
    </row>
    <row r="1030" spans="1:9" ht="15.75" thickTop="1" thickBot="1">
      <c r="A1030" s="85"/>
      <c r="B1030" s="86"/>
      <c r="C1030" s="86"/>
      <c r="D1030" s="112"/>
      <c r="E1030" s="524" t="s">
        <v>856</v>
      </c>
      <c r="F1030" s="387"/>
      <c r="G1030" s="388">
        <f>H1029</f>
        <v>328.15732809240001</v>
      </c>
      <c r="H1030" s="389">
        <f>ROUND(G1030,15)</f>
        <v>328.15732809240001</v>
      </c>
      <c r="I1030" s="520"/>
    </row>
    <row r="1031" spans="1:9" ht="15.75" thickTop="1" thickBot="1">
      <c r="A1031" s="114"/>
      <c r="B1031" s="115"/>
      <c r="C1031" s="115"/>
      <c r="D1031" s="116"/>
      <c r="E1031" s="529" t="s">
        <v>848</v>
      </c>
      <c r="F1031" s="530"/>
      <c r="G1031" s="531">
        <f>H1027+H1030</f>
        <v>18459.0554284463</v>
      </c>
      <c r="H1031" s="532">
        <f>ROUND(G1031,15)</f>
        <v>18459.0554284463</v>
      </c>
      <c r="I1031" s="520"/>
    </row>
    <row r="1032" spans="1:9" ht="15.75" thickTop="1" thickBot="1">
      <c r="A1032" s="227" t="s">
        <v>857</v>
      </c>
      <c r="B1032" s="228"/>
      <c r="C1032" s="228" t="s">
        <v>38</v>
      </c>
      <c r="D1032" s="229"/>
      <c r="E1032" s="230" t="s">
        <v>734</v>
      </c>
      <c r="F1032" s="231"/>
      <c r="G1032" s="232">
        <f>G1077</f>
        <v>18333.971110440641</v>
      </c>
      <c r="H1032" s="233">
        <f>ROUND(G1032,15)</f>
        <v>18333.971110440601</v>
      </c>
      <c r="I1032" s="520"/>
    </row>
    <row r="1033" spans="1:9" ht="15.75" thickTop="1" thickBot="1">
      <c r="A1033" s="272" t="s">
        <v>858</v>
      </c>
      <c r="B1033" s="273"/>
      <c r="C1033" s="273" t="s">
        <v>38</v>
      </c>
      <c r="D1033" s="274"/>
      <c r="E1033" s="353" t="s">
        <v>859</v>
      </c>
      <c r="F1033" s="276"/>
      <c r="G1033" s="277">
        <f>G1055</f>
        <v>11638.121804581582</v>
      </c>
      <c r="H1033" s="278">
        <f>ROUND(G1033,15)</f>
        <v>11638.1218045816</v>
      </c>
      <c r="I1033" s="520"/>
    </row>
    <row r="1034" spans="1:9" ht="26.1" customHeight="1" thickTop="1" thickBot="1">
      <c r="A1034" s="90">
        <v>89849</v>
      </c>
      <c r="B1034" s="91" t="s">
        <v>45</v>
      </c>
      <c r="C1034" s="54" t="s">
        <v>46</v>
      </c>
      <c r="D1034" s="54" t="s">
        <v>68</v>
      </c>
      <c r="E1034" s="55" t="s">
        <v>860</v>
      </c>
      <c r="F1034" s="436">
        <f>ROUND(61.95,15)</f>
        <v>61.95</v>
      </c>
      <c r="G1034" s="437">
        <f t="shared" ref="G1034:G1054" si="172">I1034*(100%-$I$14)</f>
        <v>46.652266910150054</v>
      </c>
      <c r="H1034" s="438">
        <f t="shared" ref="H1034:H1054" si="173">ROUND(F1034*G1034,15)</f>
        <v>2890.1079350837999</v>
      </c>
      <c r="I1034" s="520">
        <v>55.99</v>
      </c>
    </row>
    <row r="1035" spans="1:9" ht="26.1" customHeight="1" thickBot="1">
      <c r="A1035" s="92">
        <v>89714</v>
      </c>
      <c r="B1035" s="93" t="s">
        <v>45</v>
      </c>
      <c r="C1035" s="58" t="s">
        <v>46</v>
      </c>
      <c r="D1035" s="58" t="s">
        <v>68</v>
      </c>
      <c r="E1035" s="59" t="s">
        <v>740</v>
      </c>
      <c r="F1035" s="437">
        <f>ROUND(148.99,15)</f>
        <v>148.99</v>
      </c>
      <c r="G1035" s="437">
        <f t="shared" si="172"/>
        <v>43.361028219400048</v>
      </c>
      <c r="H1035" s="439">
        <f t="shared" si="173"/>
        <v>6460.35959440841</v>
      </c>
      <c r="I1035" s="520">
        <v>52.04</v>
      </c>
    </row>
    <row r="1036" spans="1:9" ht="26.1" customHeight="1" thickBot="1">
      <c r="A1036" s="92">
        <v>89713</v>
      </c>
      <c r="B1036" s="93" t="s">
        <v>45</v>
      </c>
      <c r="C1036" s="58" t="s">
        <v>46</v>
      </c>
      <c r="D1036" s="58" t="s">
        <v>68</v>
      </c>
      <c r="E1036" s="59" t="s">
        <v>739</v>
      </c>
      <c r="F1036" s="437">
        <f>ROUND(10.85,15)</f>
        <v>10.85</v>
      </c>
      <c r="G1036" s="437">
        <f t="shared" si="172"/>
        <v>33.837266640850039</v>
      </c>
      <c r="H1036" s="439">
        <f t="shared" si="173"/>
        <v>367.13434305322301</v>
      </c>
      <c r="I1036" s="520">
        <v>40.61</v>
      </c>
    </row>
    <row r="1037" spans="1:9" ht="26.1" customHeight="1" thickBot="1">
      <c r="A1037" s="92">
        <v>89712</v>
      </c>
      <c r="B1037" s="93" t="s">
        <v>45</v>
      </c>
      <c r="C1037" s="58" t="s">
        <v>46</v>
      </c>
      <c r="D1037" s="58" t="s">
        <v>68</v>
      </c>
      <c r="E1037" s="59" t="s">
        <v>738</v>
      </c>
      <c r="F1037" s="437">
        <f>ROUND(22.87,15)</f>
        <v>22.87</v>
      </c>
      <c r="G1037" s="437">
        <f t="shared" si="172"/>
        <v>22.147120101300025</v>
      </c>
      <c r="H1037" s="439">
        <f t="shared" si="173"/>
        <v>506.50463671673202</v>
      </c>
      <c r="I1037" s="520">
        <v>26.58</v>
      </c>
    </row>
    <row r="1038" spans="1:9" ht="26.1" customHeight="1" thickBot="1">
      <c r="A1038" s="96">
        <v>89711</v>
      </c>
      <c r="B1038" s="97" t="s">
        <v>45</v>
      </c>
      <c r="C1038" s="60" t="s">
        <v>46</v>
      </c>
      <c r="D1038" s="60" t="s">
        <v>68</v>
      </c>
      <c r="E1038" s="61" t="s">
        <v>737</v>
      </c>
      <c r="F1038" s="442">
        <f>ROUND(32.45,15)</f>
        <v>32.450000000000003</v>
      </c>
      <c r="G1038" s="442">
        <f t="shared" si="172"/>
        <v>14.681424235700018</v>
      </c>
      <c r="H1038" s="443">
        <f t="shared" si="173"/>
        <v>476.41221644846598</v>
      </c>
      <c r="I1038" s="520">
        <v>17.62</v>
      </c>
    </row>
    <row r="1039" spans="1:9" ht="26.1" customHeight="1" thickTop="1" thickBot="1">
      <c r="A1039" s="90">
        <v>89811</v>
      </c>
      <c r="B1039" s="91" t="s">
        <v>45</v>
      </c>
      <c r="C1039" s="54" t="s">
        <v>46</v>
      </c>
      <c r="D1039" s="54" t="s">
        <v>47</v>
      </c>
      <c r="E1039" s="55" t="s">
        <v>741</v>
      </c>
      <c r="F1039" s="436">
        <f>ROUND(2,15)</f>
        <v>2</v>
      </c>
      <c r="G1039" s="436">
        <f t="shared" si="172"/>
        <v>25.146730047300029</v>
      </c>
      <c r="H1039" s="438">
        <f t="shared" si="173"/>
        <v>50.2934600946001</v>
      </c>
      <c r="I1039" s="520">
        <v>30.18</v>
      </c>
    </row>
    <row r="1040" spans="1:9" ht="26.1" customHeight="1" thickBot="1">
      <c r="A1040" s="92">
        <v>89728</v>
      </c>
      <c r="B1040" s="93" t="s">
        <v>45</v>
      </c>
      <c r="C1040" s="58" t="s">
        <v>46</v>
      </c>
      <c r="D1040" s="58" t="s">
        <v>47</v>
      </c>
      <c r="E1040" s="59" t="s">
        <v>742</v>
      </c>
      <c r="F1040" s="437">
        <f>ROUND(16,15)</f>
        <v>16</v>
      </c>
      <c r="G1040" s="437">
        <f t="shared" si="172"/>
        <v>8.3239176001500095</v>
      </c>
      <c r="H1040" s="439">
        <f t="shared" si="173"/>
        <v>133.18268160240001</v>
      </c>
      <c r="I1040" s="520">
        <v>9.99</v>
      </c>
    </row>
    <row r="1041" spans="1:9" ht="26.1" customHeight="1" thickBot="1">
      <c r="A1041" s="92">
        <v>89746</v>
      </c>
      <c r="B1041" s="93" t="s">
        <v>45</v>
      </c>
      <c r="C1041" s="58" t="s">
        <v>46</v>
      </c>
      <c r="D1041" s="58" t="s">
        <v>47</v>
      </c>
      <c r="E1041" s="59" t="s">
        <v>1407</v>
      </c>
      <c r="F1041" s="437">
        <f>ROUND(6,15)</f>
        <v>6</v>
      </c>
      <c r="G1041" s="437">
        <f t="shared" si="172"/>
        <v>18.597581665200021</v>
      </c>
      <c r="H1041" s="439">
        <f t="shared" si="173"/>
        <v>111.58548999120001</v>
      </c>
      <c r="I1041" s="520">
        <v>22.32</v>
      </c>
    </row>
    <row r="1042" spans="1:9" ht="26.1" customHeight="1" thickBot="1">
      <c r="A1042" s="92">
        <v>89802</v>
      </c>
      <c r="B1042" s="93" t="s">
        <v>45</v>
      </c>
      <c r="C1042" s="58" t="s">
        <v>46</v>
      </c>
      <c r="D1042" s="58" t="s">
        <v>47</v>
      </c>
      <c r="E1042" s="59" t="s">
        <v>748</v>
      </c>
      <c r="F1042" s="437">
        <f>ROUND(4,15)</f>
        <v>4</v>
      </c>
      <c r="G1042" s="437">
        <f t="shared" si="172"/>
        <v>5.7159233971000072</v>
      </c>
      <c r="H1042" s="439">
        <f t="shared" si="173"/>
        <v>22.8636935884</v>
      </c>
      <c r="I1042" s="520">
        <v>6.86</v>
      </c>
    </row>
    <row r="1043" spans="1:9" ht="26.1" customHeight="1" thickBot="1">
      <c r="A1043" s="92">
        <v>89726</v>
      </c>
      <c r="B1043" s="93" t="s">
        <v>45</v>
      </c>
      <c r="C1043" s="58" t="s">
        <v>46</v>
      </c>
      <c r="D1043" s="58" t="s">
        <v>47</v>
      </c>
      <c r="E1043" s="59" t="s">
        <v>749</v>
      </c>
      <c r="F1043" s="437">
        <f>ROUND(15,15)</f>
        <v>15</v>
      </c>
      <c r="G1043" s="437">
        <f t="shared" si="172"/>
        <v>5.7325878968000064</v>
      </c>
      <c r="H1043" s="439">
        <f t="shared" si="173"/>
        <v>85.988818452000103</v>
      </c>
      <c r="I1043" s="520">
        <v>6.88</v>
      </c>
    </row>
    <row r="1044" spans="1:9" ht="26.1" customHeight="1" thickBot="1">
      <c r="A1044" s="92">
        <v>89744</v>
      </c>
      <c r="B1044" s="93" t="s">
        <v>45</v>
      </c>
      <c r="C1044" s="58" t="s">
        <v>46</v>
      </c>
      <c r="D1044" s="58" t="s">
        <v>47</v>
      </c>
      <c r="E1044" s="59" t="s">
        <v>750</v>
      </c>
      <c r="F1044" s="437">
        <f>ROUND(5,15)</f>
        <v>5</v>
      </c>
      <c r="G1044" s="437">
        <f t="shared" si="172"/>
        <v>18.639242914450023</v>
      </c>
      <c r="H1044" s="439">
        <f t="shared" si="173"/>
        <v>93.196214572250099</v>
      </c>
      <c r="I1044" s="520">
        <v>22.37</v>
      </c>
    </row>
    <row r="1045" spans="1:9" ht="26.1" customHeight="1" thickBot="1">
      <c r="A1045" s="92">
        <v>89731</v>
      </c>
      <c r="B1045" s="93" t="s">
        <v>45</v>
      </c>
      <c r="C1045" s="58" t="s">
        <v>46</v>
      </c>
      <c r="D1045" s="58" t="s">
        <v>47</v>
      </c>
      <c r="E1045" s="59" t="s">
        <v>751</v>
      </c>
      <c r="F1045" s="437">
        <f>ROUND(9,15)</f>
        <v>9</v>
      </c>
      <c r="G1045" s="437">
        <f t="shared" si="172"/>
        <v>8.2572596013500092</v>
      </c>
      <c r="H1045" s="439">
        <f t="shared" si="173"/>
        <v>74.315336412150103</v>
      </c>
      <c r="I1045" s="520">
        <v>9.91</v>
      </c>
    </row>
    <row r="1046" spans="1:9" ht="23.25" thickBot="1">
      <c r="A1046" s="92" t="s">
        <v>755</v>
      </c>
      <c r="B1046" s="93" t="s">
        <v>148</v>
      </c>
      <c r="C1046" s="58" t="s">
        <v>46</v>
      </c>
      <c r="D1046" s="58" t="s">
        <v>47</v>
      </c>
      <c r="E1046" s="59" t="s">
        <v>756</v>
      </c>
      <c r="F1046" s="437">
        <f>ROUND(8,15)</f>
        <v>8</v>
      </c>
      <c r="G1046" s="437">
        <f t="shared" si="172"/>
        <v>9.4654358296000112</v>
      </c>
      <c r="H1046" s="439">
        <f t="shared" si="173"/>
        <v>75.723486636800104</v>
      </c>
      <c r="I1046" s="520">
        <v>11.36</v>
      </c>
    </row>
    <row r="1047" spans="1:9" ht="26.1" customHeight="1" thickBot="1">
      <c r="A1047" s="92">
        <v>89797</v>
      </c>
      <c r="B1047" s="93" t="s">
        <v>45</v>
      </c>
      <c r="C1047" s="58" t="s">
        <v>46</v>
      </c>
      <c r="D1047" s="58" t="s">
        <v>47</v>
      </c>
      <c r="E1047" s="59" t="s">
        <v>757</v>
      </c>
      <c r="F1047" s="437">
        <f>ROUND(4,15)</f>
        <v>4</v>
      </c>
      <c r="G1047" s="437">
        <f t="shared" si="172"/>
        <v>35.52871336040004</v>
      </c>
      <c r="H1047" s="439">
        <f t="shared" si="173"/>
        <v>142.11485344159999</v>
      </c>
      <c r="I1047" s="520">
        <v>42.64</v>
      </c>
    </row>
    <row r="1048" spans="1:9" ht="26.1" customHeight="1" thickBot="1">
      <c r="A1048" s="92" t="s">
        <v>758</v>
      </c>
      <c r="B1048" s="93" t="s">
        <v>148</v>
      </c>
      <c r="C1048" s="58" t="s">
        <v>46</v>
      </c>
      <c r="D1048" s="58" t="s">
        <v>47</v>
      </c>
      <c r="E1048" s="59" t="s">
        <v>759</v>
      </c>
      <c r="F1048" s="437">
        <f>ROUND(1,15)</f>
        <v>1</v>
      </c>
      <c r="G1048" s="437">
        <f t="shared" si="172"/>
        <v>30.179408956700033</v>
      </c>
      <c r="H1048" s="439">
        <f t="shared" si="173"/>
        <v>30.179408956700001</v>
      </c>
      <c r="I1048" s="520">
        <v>36.22</v>
      </c>
    </row>
    <row r="1049" spans="1:9" ht="26.1" customHeight="1" thickBot="1">
      <c r="A1049" s="92" t="s">
        <v>760</v>
      </c>
      <c r="B1049" s="93" t="s">
        <v>148</v>
      </c>
      <c r="C1049" s="58" t="s">
        <v>46</v>
      </c>
      <c r="D1049" s="58" t="s">
        <v>47</v>
      </c>
      <c r="E1049" s="59" t="s">
        <v>761</v>
      </c>
      <c r="F1049" s="437">
        <f>ROUND(1,15)</f>
        <v>1</v>
      </c>
      <c r="G1049" s="437">
        <f t="shared" si="172"/>
        <v>23.62192832475003</v>
      </c>
      <c r="H1049" s="439">
        <f t="shared" si="173"/>
        <v>23.621928324750002</v>
      </c>
      <c r="I1049" s="520">
        <v>28.35</v>
      </c>
    </row>
    <row r="1050" spans="1:9" ht="26.1" customHeight="1" thickBot="1">
      <c r="A1050" s="92">
        <v>89785</v>
      </c>
      <c r="B1050" s="93" t="s">
        <v>45</v>
      </c>
      <c r="C1050" s="58" t="s">
        <v>46</v>
      </c>
      <c r="D1050" s="58" t="s">
        <v>47</v>
      </c>
      <c r="E1050" s="59" t="s">
        <v>762</v>
      </c>
      <c r="F1050" s="437">
        <f>ROUND(1,15)</f>
        <v>1</v>
      </c>
      <c r="G1050" s="437">
        <f t="shared" si="172"/>
        <v>16.531183702400018</v>
      </c>
      <c r="H1050" s="439">
        <f t="shared" si="173"/>
        <v>16.5311837024</v>
      </c>
      <c r="I1050" s="520">
        <v>19.84</v>
      </c>
    </row>
    <row r="1051" spans="1:9" ht="26.1" customHeight="1" thickBot="1">
      <c r="A1051" s="92">
        <v>89782</v>
      </c>
      <c r="B1051" s="93" t="s">
        <v>45</v>
      </c>
      <c r="C1051" s="58" t="s">
        <v>46</v>
      </c>
      <c r="D1051" s="58" t="s">
        <v>47</v>
      </c>
      <c r="E1051" s="59" t="s">
        <v>767</v>
      </c>
      <c r="F1051" s="437">
        <f>ROUND(2,15)</f>
        <v>2</v>
      </c>
      <c r="G1051" s="437">
        <f t="shared" si="172"/>
        <v>9.3071230824500102</v>
      </c>
      <c r="H1051" s="439">
        <f t="shared" si="173"/>
        <v>18.614246164899999</v>
      </c>
      <c r="I1051" s="520">
        <v>11.17</v>
      </c>
    </row>
    <row r="1052" spans="1:9" ht="26.1" customHeight="1" thickBot="1">
      <c r="A1052" s="92" t="s">
        <v>763</v>
      </c>
      <c r="B1052" s="93" t="s">
        <v>148</v>
      </c>
      <c r="C1052" s="58" t="s">
        <v>46</v>
      </c>
      <c r="D1052" s="58" t="s">
        <v>47</v>
      </c>
      <c r="E1052" s="59" t="s">
        <v>764</v>
      </c>
      <c r="F1052" s="437">
        <f>ROUND(1,15)</f>
        <v>1</v>
      </c>
      <c r="G1052" s="437">
        <f t="shared" si="172"/>
        <v>29.379512971100034</v>
      </c>
      <c r="H1052" s="439">
        <f t="shared" si="173"/>
        <v>29.379512971099999</v>
      </c>
      <c r="I1052" s="520">
        <v>35.26</v>
      </c>
    </row>
    <row r="1053" spans="1:9" ht="26.1" customHeight="1" thickBot="1">
      <c r="A1053" s="92" t="s">
        <v>765</v>
      </c>
      <c r="B1053" s="93" t="s">
        <v>148</v>
      </c>
      <c r="C1053" s="58" t="s">
        <v>46</v>
      </c>
      <c r="D1053" s="58" t="s">
        <v>47</v>
      </c>
      <c r="E1053" s="59" t="s">
        <v>766</v>
      </c>
      <c r="F1053" s="437">
        <f>ROUND(1,15)</f>
        <v>1</v>
      </c>
      <c r="G1053" s="437">
        <f t="shared" si="172"/>
        <v>10.348654313700012</v>
      </c>
      <c r="H1053" s="439">
        <f t="shared" si="173"/>
        <v>10.348654313700001</v>
      </c>
      <c r="I1053" s="520">
        <v>12.42</v>
      </c>
    </row>
    <row r="1054" spans="1:9" ht="26.1" customHeight="1" thickBot="1">
      <c r="A1054" s="96">
        <v>89752</v>
      </c>
      <c r="B1054" s="97" t="s">
        <v>45</v>
      </c>
      <c r="C1054" s="60" t="s">
        <v>46</v>
      </c>
      <c r="D1054" s="60" t="s">
        <v>47</v>
      </c>
      <c r="E1054" s="61" t="s">
        <v>861</v>
      </c>
      <c r="F1054" s="442">
        <f>ROUND(4,15)</f>
        <v>4</v>
      </c>
      <c r="G1054" s="437">
        <f t="shared" si="172"/>
        <v>4.9160274115000062</v>
      </c>
      <c r="H1054" s="443">
        <f t="shared" si="173"/>
        <v>19.664109646</v>
      </c>
      <c r="I1054" s="520">
        <v>5.9</v>
      </c>
    </row>
    <row r="1055" spans="1:9" ht="15.75" thickTop="1" thickBot="1">
      <c r="A1055" s="44"/>
      <c r="B1055" s="45"/>
      <c r="C1055" s="45"/>
      <c r="D1055" s="46"/>
      <c r="E1055" s="524" t="s">
        <v>858</v>
      </c>
      <c r="F1055" s="387"/>
      <c r="G1055" s="388">
        <f>H1034+H1035+H1036+H1037+H1038+H1039+H1040+H1041+H1042+H1043+H1044+H1045+H1046+H1047+H1048+H1049+H1050+H1051+H1052+H1053+H1054</f>
        <v>11638.121804581582</v>
      </c>
      <c r="H1055" s="389">
        <f>ROUND(G1055,15)</f>
        <v>11638.1218045816</v>
      </c>
      <c r="I1055" s="520"/>
    </row>
    <row r="1056" spans="1:9" ht="15.75" thickTop="1" thickBot="1">
      <c r="A1056" s="272" t="s">
        <v>862</v>
      </c>
      <c r="B1056" s="273"/>
      <c r="C1056" s="273" t="s">
        <v>38</v>
      </c>
      <c r="D1056" s="274"/>
      <c r="E1056" s="353" t="s">
        <v>772</v>
      </c>
      <c r="F1056" s="276"/>
      <c r="G1056" s="277">
        <f>G1060</f>
        <v>295.09496068760018</v>
      </c>
      <c r="H1056" s="278">
        <f>ROUND(G1056,15)</f>
        <v>295.09496068760001</v>
      </c>
      <c r="I1056" s="520"/>
    </row>
    <row r="1057" spans="1:9" ht="26.1" customHeight="1" thickTop="1" thickBot="1">
      <c r="A1057" s="90">
        <v>89709</v>
      </c>
      <c r="B1057" s="91" t="s">
        <v>45</v>
      </c>
      <c r="C1057" s="54" t="s">
        <v>46</v>
      </c>
      <c r="D1057" s="54" t="s">
        <v>47</v>
      </c>
      <c r="E1057" s="55" t="s">
        <v>661</v>
      </c>
      <c r="F1057" s="436">
        <f>ROUND(8,15)</f>
        <v>8</v>
      </c>
      <c r="G1057" s="437">
        <f t="shared" ref="G1057:G1059" si="174">I1057*(100%-$I$14)</f>
        <v>10.040361069250013</v>
      </c>
      <c r="H1057" s="438">
        <f>ROUND(F1057*G1057,15)</f>
        <v>80.322888554000102</v>
      </c>
      <c r="I1057" s="520">
        <v>12.05</v>
      </c>
    </row>
    <row r="1058" spans="1:9" ht="26.1" customHeight="1" thickBot="1">
      <c r="A1058" s="92" t="s">
        <v>773</v>
      </c>
      <c r="B1058" s="93" t="s">
        <v>148</v>
      </c>
      <c r="C1058" s="58" t="s">
        <v>46</v>
      </c>
      <c r="D1058" s="58" t="s">
        <v>47</v>
      </c>
      <c r="E1058" s="59" t="s">
        <v>774</v>
      </c>
      <c r="F1058" s="437">
        <f>ROUND(2,15)</f>
        <v>2</v>
      </c>
      <c r="G1058" s="437">
        <f t="shared" si="174"/>
        <v>34.54550787810004</v>
      </c>
      <c r="H1058" s="439">
        <f>ROUND(F1058*G1058,15)</f>
        <v>69.091015756200093</v>
      </c>
      <c r="I1058" s="520">
        <v>41.46</v>
      </c>
    </row>
    <row r="1059" spans="1:9" ht="26.1" customHeight="1" thickBot="1">
      <c r="A1059" s="96" t="s">
        <v>775</v>
      </c>
      <c r="B1059" s="97" t="s">
        <v>148</v>
      </c>
      <c r="C1059" s="60" t="s">
        <v>46</v>
      </c>
      <c r="D1059" s="60" t="s">
        <v>47</v>
      </c>
      <c r="E1059" s="61" t="s">
        <v>776</v>
      </c>
      <c r="F1059" s="442">
        <f>ROUND(3,15)</f>
        <v>3</v>
      </c>
      <c r="G1059" s="437">
        <f t="shared" si="174"/>
        <v>48.560352125800058</v>
      </c>
      <c r="H1059" s="443">
        <f>ROUND(F1059*G1059,15)</f>
        <v>145.68105637740001</v>
      </c>
      <c r="I1059" s="520">
        <v>58.28</v>
      </c>
    </row>
    <row r="1060" spans="1:9" ht="15.75" thickTop="1" thickBot="1">
      <c r="A1060" s="44"/>
      <c r="B1060" s="45"/>
      <c r="C1060" s="45"/>
      <c r="D1060" s="46"/>
      <c r="E1060" s="524" t="s">
        <v>862</v>
      </c>
      <c r="F1060" s="387"/>
      <c r="G1060" s="388">
        <f>H1057+H1058+H1059</f>
        <v>295.09496068760018</v>
      </c>
      <c r="H1060" s="389">
        <f>ROUND(G1060,15)</f>
        <v>295.09496068760001</v>
      </c>
      <c r="I1060" s="520"/>
    </row>
    <row r="1061" spans="1:9" ht="15.75" thickTop="1" thickBot="1">
      <c r="A1061" s="272" t="s">
        <v>863</v>
      </c>
      <c r="B1061" s="273"/>
      <c r="C1061" s="273" t="s">
        <v>38</v>
      </c>
      <c r="D1061" s="274"/>
      <c r="E1061" s="353" t="s">
        <v>864</v>
      </c>
      <c r="F1061" s="276"/>
      <c r="G1061" s="277">
        <f>G1066</f>
        <v>5711.7989334242502</v>
      </c>
      <c r="H1061" s="278">
        <f>ROUND(G1061,15)</f>
        <v>5711.7989334242502</v>
      </c>
      <c r="I1061" s="520"/>
    </row>
    <row r="1062" spans="1:9" ht="15.75" thickTop="1" thickBot="1">
      <c r="A1062" s="100" t="s">
        <v>865</v>
      </c>
      <c r="B1062" s="101" t="s">
        <v>148</v>
      </c>
      <c r="C1062" s="64" t="s">
        <v>46</v>
      </c>
      <c r="D1062" s="64" t="s">
        <v>47</v>
      </c>
      <c r="E1062" s="65" t="s">
        <v>866</v>
      </c>
      <c r="F1062" s="446">
        <f>ROUND(4,15)</f>
        <v>4</v>
      </c>
      <c r="G1062" s="440">
        <f t="shared" ref="G1062:G1065" si="175">I1062*(100%-$I$14)</f>
        <v>358.17842430195043</v>
      </c>
      <c r="H1062" s="447">
        <f>ROUND(F1062*G1062,15)</f>
        <v>1432.7136972077999</v>
      </c>
      <c r="I1062" s="520">
        <v>429.87</v>
      </c>
    </row>
    <row r="1063" spans="1:9" ht="15" thickBot="1">
      <c r="A1063" s="94" t="s">
        <v>867</v>
      </c>
      <c r="B1063" s="95" t="s">
        <v>148</v>
      </c>
      <c r="C1063" s="74" t="s">
        <v>46</v>
      </c>
      <c r="D1063" s="74" t="s">
        <v>47</v>
      </c>
      <c r="E1063" s="78" t="s">
        <v>868</v>
      </c>
      <c r="F1063" s="440">
        <f>ROUND(2,15)</f>
        <v>2</v>
      </c>
      <c r="G1063" s="440">
        <f t="shared" si="175"/>
        <v>384.28336308200045</v>
      </c>
      <c r="H1063" s="441">
        <f>ROUND(F1063*G1063,15)</f>
        <v>768.56672616400101</v>
      </c>
      <c r="I1063" s="520">
        <v>461.2</v>
      </c>
    </row>
    <row r="1064" spans="1:9" ht="26.1" customHeight="1" thickTop="1" thickBot="1">
      <c r="A1064" s="92">
        <v>98108</v>
      </c>
      <c r="B1064" s="93" t="s">
        <v>45</v>
      </c>
      <c r="C1064" s="58" t="s">
        <v>46</v>
      </c>
      <c r="D1064" s="58" t="s">
        <v>47</v>
      </c>
      <c r="E1064" s="55" t="s">
        <v>1513</v>
      </c>
      <c r="F1064" s="437">
        <f>ROUND(1,15)</f>
        <v>1</v>
      </c>
      <c r="G1064" s="437">
        <f t="shared" si="175"/>
        <v>358.17842430195043</v>
      </c>
      <c r="H1064" s="439">
        <f>ROUND(F1064*G1064,15)</f>
        <v>358.17842430194997</v>
      </c>
      <c r="I1064" s="520">
        <v>429.87</v>
      </c>
    </row>
    <row r="1065" spans="1:9" ht="26.1" customHeight="1" thickBot="1">
      <c r="A1065" s="96">
        <v>97906</v>
      </c>
      <c r="B1065" s="97" t="s">
        <v>45</v>
      </c>
      <c r="C1065" s="60" t="s">
        <v>46</v>
      </c>
      <c r="D1065" s="60" t="s">
        <v>47</v>
      </c>
      <c r="E1065" s="61" t="s">
        <v>781</v>
      </c>
      <c r="F1065" s="442">
        <f>ROUND(10,15)</f>
        <v>10</v>
      </c>
      <c r="G1065" s="437">
        <f t="shared" si="175"/>
        <v>315.23400857505038</v>
      </c>
      <c r="H1065" s="443">
        <f>ROUND(F1065*G1065,15)</f>
        <v>3152.3400857504998</v>
      </c>
      <c r="I1065" s="520">
        <v>378.33</v>
      </c>
    </row>
    <row r="1066" spans="1:9" ht="15.75" thickTop="1" thickBot="1">
      <c r="A1066" s="44"/>
      <c r="B1066" s="45"/>
      <c r="C1066" s="45"/>
      <c r="D1066" s="46"/>
      <c r="E1066" s="524" t="s">
        <v>863</v>
      </c>
      <c r="F1066" s="387"/>
      <c r="G1066" s="388">
        <f>H1062+H1063+H1064+H1065</f>
        <v>5711.7989334242502</v>
      </c>
      <c r="H1066" s="389">
        <f>ROUND(G1066,15)</f>
        <v>5711.7989334242502</v>
      </c>
      <c r="I1066" s="520"/>
    </row>
    <row r="1067" spans="1:9" ht="15.75" thickTop="1" thickBot="1">
      <c r="A1067" s="272" t="s">
        <v>869</v>
      </c>
      <c r="B1067" s="273"/>
      <c r="C1067" s="273" t="s">
        <v>38</v>
      </c>
      <c r="D1067" s="274"/>
      <c r="E1067" s="353" t="s">
        <v>785</v>
      </c>
      <c r="F1067" s="276"/>
      <c r="G1067" s="277">
        <f>G1076</f>
        <v>688.95541174719028</v>
      </c>
      <c r="H1067" s="278">
        <f>ROUND(G1067,15)</f>
        <v>688.95541174719006</v>
      </c>
      <c r="I1067" s="520"/>
    </row>
    <row r="1068" spans="1:9" ht="26.1" customHeight="1" thickTop="1" thickBot="1">
      <c r="A1068" s="90">
        <v>89798</v>
      </c>
      <c r="B1068" s="91" t="s">
        <v>45</v>
      </c>
      <c r="C1068" s="54" t="s">
        <v>46</v>
      </c>
      <c r="D1068" s="54" t="s">
        <v>68</v>
      </c>
      <c r="E1068" s="55" t="s">
        <v>789</v>
      </c>
      <c r="F1068" s="436">
        <f>ROUND(33.7,15)</f>
        <v>33.700000000000003</v>
      </c>
      <c r="G1068" s="437">
        <f t="shared" ref="G1068:G1075" si="176">I1068*(100%-$I$14)</f>
        <v>9.682074325700011</v>
      </c>
      <c r="H1068" s="438">
        <f t="shared" ref="H1068:H1075" si="177">ROUND(F1068*G1068,15)</f>
        <v>326.28590477608998</v>
      </c>
      <c r="I1068" s="520">
        <v>11.62</v>
      </c>
    </row>
    <row r="1069" spans="1:9" ht="15.95" customHeight="1" thickBot="1">
      <c r="A1069" s="94" t="s">
        <v>786</v>
      </c>
      <c r="B1069" s="95" t="s">
        <v>57</v>
      </c>
      <c r="C1069" s="74" t="s">
        <v>46</v>
      </c>
      <c r="D1069" s="74" t="s">
        <v>47</v>
      </c>
      <c r="E1069" s="78" t="s">
        <v>787</v>
      </c>
      <c r="F1069" s="440">
        <f>ROUND(4,15)</f>
        <v>4</v>
      </c>
      <c r="G1069" s="440">
        <f t="shared" si="176"/>
        <v>6.8074481274500078</v>
      </c>
      <c r="H1069" s="441">
        <f t="shared" si="177"/>
        <v>27.229792509799999</v>
      </c>
      <c r="I1069" s="520">
        <v>8.17</v>
      </c>
    </row>
    <row r="1070" spans="1:9" ht="26.1" customHeight="1" thickBot="1">
      <c r="A1070" s="92">
        <v>89813</v>
      </c>
      <c r="B1070" s="93" t="s">
        <v>45</v>
      </c>
      <c r="C1070" s="58" t="s">
        <v>46</v>
      </c>
      <c r="D1070" s="58" t="s">
        <v>47</v>
      </c>
      <c r="E1070" s="59" t="s">
        <v>870</v>
      </c>
      <c r="F1070" s="437">
        <f>ROUND(9,15)</f>
        <v>9</v>
      </c>
      <c r="G1070" s="437">
        <f t="shared" si="176"/>
        <v>5.1826594067000062</v>
      </c>
      <c r="H1070" s="439">
        <f t="shared" si="177"/>
        <v>46.643934660300097</v>
      </c>
      <c r="I1070" s="520">
        <v>6.22</v>
      </c>
    </row>
    <row r="1071" spans="1:9" ht="26.1" customHeight="1" thickBot="1">
      <c r="A1071" s="92" t="s">
        <v>871</v>
      </c>
      <c r="B1071" s="93" t="s">
        <v>148</v>
      </c>
      <c r="C1071" s="58" t="s">
        <v>46</v>
      </c>
      <c r="D1071" s="58" t="s">
        <v>47</v>
      </c>
      <c r="E1071" s="59" t="s">
        <v>872</v>
      </c>
      <c r="F1071" s="437">
        <f>ROUND(1,15)</f>
        <v>1</v>
      </c>
      <c r="G1071" s="437">
        <f t="shared" si="176"/>
        <v>30.179408956700033</v>
      </c>
      <c r="H1071" s="439">
        <f t="shared" si="177"/>
        <v>30.179408956700001</v>
      </c>
      <c r="I1071" s="520">
        <v>36.22</v>
      </c>
    </row>
    <row r="1072" spans="1:9" ht="26.1" customHeight="1" thickBot="1">
      <c r="A1072" s="92" t="s">
        <v>763</v>
      </c>
      <c r="B1072" s="93" t="s">
        <v>148</v>
      </c>
      <c r="C1072" s="58" t="s">
        <v>46</v>
      </c>
      <c r="D1072" s="58" t="s">
        <v>47</v>
      </c>
      <c r="E1072" s="59" t="s">
        <v>764</v>
      </c>
      <c r="F1072" s="437">
        <f>ROUND(2,15)</f>
        <v>2</v>
      </c>
      <c r="G1072" s="437">
        <f t="shared" si="176"/>
        <v>29.379512971100034</v>
      </c>
      <c r="H1072" s="439">
        <f t="shared" si="177"/>
        <v>58.759025942200097</v>
      </c>
      <c r="I1072" s="520">
        <v>35.26</v>
      </c>
    </row>
    <row r="1073" spans="1:9" ht="26.1" customHeight="1" thickBot="1">
      <c r="A1073" s="92">
        <v>89784</v>
      </c>
      <c r="B1073" s="93" t="s">
        <v>45</v>
      </c>
      <c r="C1073" s="58" t="s">
        <v>46</v>
      </c>
      <c r="D1073" s="58" t="s">
        <v>47</v>
      </c>
      <c r="E1073" s="59" t="s">
        <v>794</v>
      </c>
      <c r="F1073" s="437">
        <f>ROUND(9,15)</f>
        <v>9</v>
      </c>
      <c r="G1073" s="437">
        <f t="shared" si="176"/>
        <v>15.131365727600018</v>
      </c>
      <c r="H1073" s="439">
        <f t="shared" si="177"/>
        <v>136.1822915484</v>
      </c>
      <c r="I1073" s="520">
        <v>18.16</v>
      </c>
    </row>
    <row r="1074" spans="1:9" ht="26.1" customHeight="1" thickBot="1">
      <c r="A1074" s="92">
        <v>89801</v>
      </c>
      <c r="B1074" s="93" t="s">
        <v>45</v>
      </c>
      <c r="C1074" s="58" t="s">
        <v>46</v>
      </c>
      <c r="D1074" s="58" t="s">
        <v>47</v>
      </c>
      <c r="E1074" s="59" t="s">
        <v>796</v>
      </c>
      <c r="F1074" s="437">
        <f>ROUND(10,15)</f>
        <v>10</v>
      </c>
      <c r="G1074" s="437">
        <f t="shared" si="176"/>
        <v>5.2243206559500059</v>
      </c>
      <c r="H1074" s="439">
        <f t="shared" si="177"/>
        <v>52.243206559500102</v>
      </c>
      <c r="I1074" s="520">
        <v>6.27</v>
      </c>
    </row>
    <row r="1075" spans="1:9" ht="26.1" customHeight="1" thickBot="1">
      <c r="A1075" s="96">
        <v>89802</v>
      </c>
      <c r="B1075" s="97" t="s">
        <v>45</v>
      </c>
      <c r="C1075" s="60" t="s">
        <v>46</v>
      </c>
      <c r="D1075" s="60" t="s">
        <v>47</v>
      </c>
      <c r="E1075" s="61" t="s">
        <v>748</v>
      </c>
      <c r="F1075" s="442">
        <f>ROUND(2,15)</f>
        <v>2</v>
      </c>
      <c r="G1075" s="437">
        <f t="shared" si="176"/>
        <v>5.7159233971000072</v>
      </c>
      <c r="H1075" s="443">
        <f t="shared" si="177"/>
        <v>11.4318467942</v>
      </c>
      <c r="I1075" s="520">
        <v>6.86</v>
      </c>
    </row>
    <row r="1076" spans="1:9" ht="15.75" thickTop="1" thickBot="1">
      <c r="A1076" s="85"/>
      <c r="B1076" s="86"/>
      <c r="C1076" s="86"/>
      <c r="D1076" s="112"/>
      <c r="E1076" s="394" t="s">
        <v>869</v>
      </c>
      <c r="F1076" s="395"/>
      <c r="G1076" s="396">
        <f>H1068+H1069+H1070+H1071+H1072+H1073+H1074+H1075</f>
        <v>688.95541174719028</v>
      </c>
      <c r="H1076" s="397">
        <f t="shared" ref="H1076:H1084" si="178">ROUND(G1076,15)</f>
        <v>688.95541174719006</v>
      </c>
      <c r="I1076" s="520"/>
    </row>
    <row r="1077" spans="1:9" ht="15" thickBot="1">
      <c r="A1077" s="75"/>
      <c r="B1077" s="76"/>
      <c r="C1077" s="76"/>
      <c r="D1077" s="113"/>
      <c r="E1077" s="481" t="s">
        <v>857</v>
      </c>
      <c r="F1077" s="482"/>
      <c r="G1077" s="483">
        <f>H1055+H1060+H1066+H1076</f>
        <v>18333.971110440641</v>
      </c>
      <c r="H1077" s="484">
        <f t="shared" si="178"/>
        <v>18333.971110440601</v>
      </c>
      <c r="I1077" s="520"/>
    </row>
    <row r="1078" spans="1:9" ht="15" thickBot="1">
      <c r="A1078" s="75"/>
      <c r="B1078" s="76"/>
      <c r="C1078" s="76"/>
      <c r="D1078" s="113"/>
      <c r="E1078" s="542" t="s">
        <v>822</v>
      </c>
      <c r="F1078" s="543"/>
      <c r="G1078" s="544">
        <f>H1015+H1031+H1077</f>
        <v>50394.757922346398</v>
      </c>
      <c r="H1078" s="545">
        <f t="shared" si="178"/>
        <v>50394.757922346398</v>
      </c>
      <c r="I1078" s="520"/>
    </row>
    <row r="1079" spans="1:9" ht="15" thickBot="1">
      <c r="A1079" s="114"/>
      <c r="B1079" s="115"/>
      <c r="C1079" s="115"/>
      <c r="D1079" s="116"/>
      <c r="E1079" s="546" t="s">
        <v>520</v>
      </c>
      <c r="F1079" s="547"/>
      <c r="G1079" s="548">
        <f>H948+H1078</f>
        <v>193054.81971782842</v>
      </c>
      <c r="H1079" s="549">
        <f t="shared" si="178"/>
        <v>193054.81971782801</v>
      </c>
      <c r="I1079" s="520"/>
    </row>
    <row r="1080" spans="1:9" ht="15.75" thickTop="1" thickBot="1">
      <c r="A1080" s="362" t="s">
        <v>873</v>
      </c>
      <c r="B1080" s="363"/>
      <c r="C1080" s="363" t="s">
        <v>38</v>
      </c>
      <c r="D1080" s="364"/>
      <c r="E1080" s="365" t="s">
        <v>874</v>
      </c>
      <c r="F1080" s="366"/>
      <c r="G1080" s="367">
        <f>G1400</f>
        <v>349326.27322392381</v>
      </c>
      <c r="H1080" s="368">
        <f t="shared" si="178"/>
        <v>349326.27322392398</v>
      </c>
      <c r="I1080" s="520"/>
    </row>
    <row r="1081" spans="1:9" ht="15.75" thickTop="1" thickBot="1">
      <c r="A1081" s="237" t="s">
        <v>875</v>
      </c>
      <c r="B1081" s="238"/>
      <c r="C1081" s="238" t="s">
        <v>38</v>
      </c>
      <c r="D1081" s="239"/>
      <c r="E1081" s="348" t="s">
        <v>143</v>
      </c>
      <c r="F1081" s="241"/>
      <c r="G1081" s="242">
        <f>G1251</f>
        <v>150578.11467221379</v>
      </c>
      <c r="H1081" s="243">
        <f t="shared" si="178"/>
        <v>150578.114672214</v>
      </c>
      <c r="I1081" s="520"/>
    </row>
    <row r="1082" spans="1:9" ht="15.75" thickTop="1" thickBot="1">
      <c r="A1082" s="227" t="s">
        <v>876</v>
      </c>
      <c r="B1082" s="228"/>
      <c r="C1082" s="228" t="s">
        <v>38</v>
      </c>
      <c r="D1082" s="229"/>
      <c r="E1082" s="230" t="s">
        <v>877</v>
      </c>
      <c r="F1082" s="231"/>
      <c r="G1082" s="232">
        <f>G1206</f>
        <v>124370.73504638328</v>
      </c>
      <c r="H1082" s="233">
        <f t="shared" si="178"/>
        <v>124370.73504638299</v>
      </c>
      <c r="I1082" s="520"/>
    </row>
    <row r="1083" spans="1:9" ht="15.75" thickTop="1" thickBot="1">
      <c r="A1083" s="272" t="s">
        <v>878</v>
      </c>
      <c r="B1083" s="273"/>
      <c r="C1083" s="273" t="s">
        <v>38</v>
      </c>
      <c r="D1083" s="274"/>
      <c r="E1083" s="353" t="s">
        <v>879</v>
      </c>
      <c r="F1083" s="276"/>
      <c r="G1083" s="277">
        <f>G1149</f>
        <v>10333.989553964002</v>
      </c>
      <c r="H1083" s="278">
        <f t="shared" si="178"/>
        <v>10333.989553964</v>
      </c>
      <c r="I1083" s="520"/>
    </row>
    <row r="1084" spans="1:9" ht="15.75" thickTop="1" thickBot="1">
      <c r="A1084" s="300" t="s">
        <v>880</v>
      </c>
      <c r="B1084" s="301"/>
      <c r="C1084" s="301" t="s">
        <v>38</v>
      </c>
      <c r="D1084" s="302"/>
      <c r="E1084" s="369" t="s">
        <v>881</v>
      </c>
      <c r="F1084" s="304"/>
      <c r="G1084" s="305">
        <f>G1093</f>
        <v>1997.3152792936512</v>
      </c>
      <c r="H1084" s="306">
        <f t="shared" si="178"/>
        <v>1997.3152792936501</v>
      </c>
      <c r="I1084" s="520"/>
    </row>
    <row r="1085" spans="1:9" ht="26.1" customHeight="1" thickTop="1" thickBot="1">
      <c r="A1085" s="90">
        <v>93656</v>
      </c>
      <c r="B1085" s="91" t="s">
        <v>45</v>
      </c>
      <c r="C1085" s="54" t="s">
        <v>46</v>
      </c>
      <c r="D1085" s="54" t="s">
        <v>47</v>
      </c>
      <c r="E1085" s="55" t="s">
        <v>882</v>
      </c>
      <c r="F1085" s="436">
        <f>ROUND(1,15)</f>
        <v>1</v>
      </c>
      <c r="G1085" s="437">
        <f t="shared" ref="G1085:G1092" si="179">I1085*(100%-$I$14)</f>
        <v>10.606954059050013</v>
      </c>
      <c r="H1085" s="438">
        <f t="shared" ref="H1085:H1092" si="180">ROUND(F1085*G1085,15)</f>
        <v>10.60695405905</v>
      </c>
      <c r="I1085" s="520">
        <v>12.73</v>
      </c>
    </row>
    <row r="1086" spans="1:9" ht="26.1" customHeight="1" thickBot="1">
      <c r="A1086" s="92">
        <v>93670</v>
      </c>
      <c r="B1086" s="93" t="s">
        <v>45</v>
      </c>
      <c r="C1086" s="58" t="s">
        <v>46</v>
      </c>
      <c r="D1086" s="58" t="s">
        <v>47</v>
      </c>
      <c r="E1086" s="59" t="s">
        <v>883</v>
      </c>
      <c r="F1086" s="437">
        <f>ROUND(2,15)</f>
        <v>2</v>
      </c>
      <c r="G1086" s="437">
        <f t="shared" si="179"/>
        <v>61.85862288640007</v>
      </c>
      <c r="H1086" s="439">
        <f t="shared" si="180"/>
        <v>123.7172457728</v>
      </c>
      <c r="I1086" s="520">
        <v>74.239999999999995</v>
      </c>
    </row>
    <row r="1087" spans="1:9" ht="26.1" customHeight="1" thickBot="1">
      <c r="A1087" s="92">
        <v>93672</v>
      </c>
      <c r="B1087" s="93" t="s">
        <v>45</v>
      </c>
      <c r="C1087" s="58" t="s">
        <v>46</v>
      </c>
      <c r="D1087" s="58" t="s">
        <v>47</v>
      </c>
      <c r="E1087" s="59" t="s">
        <v>884</v>
      </c>
      <c r="F1087" s="437">
        <f>ROUND(1,15)</f>
        <v>1</v>
      </c>
      <c r="G1087" s="437">
        <f t="shared" si="179"/>
        <v>69.799256993450072</v>
      </c>
      <c r="H1087" s="439">
        <f t="shared" si="180"/>
        <v>69.799256993450101</v>
      </c>
      <c r="I1087" s="520">
        <v>83.77</v>
      </c>
    </row>
    <row r="1088" spans="1:9" ht="15" thickBot="1">
      <c r="A1088" s="94" t="s">
        <v>885</v>
      </c>
      <c r="B1088" s="95" t="s">
        <v>148</v>
      </c>
      <c r="C1088" s="74" t="s">
        <v>46</v>
      </c>
      <c r="D1088" s="74" t="s">
        <v>47</v>
      </c>
      <c r="E1088" s="78" t="s">
        <v>886</v>
      </c>
      <c r="F1088" s="440">
        <f>ROUND(2,15)</f>
        <v>2</v>
      </c>
      <c r="G1088" s="440">
        <f t="shared" si="179"/>
        <v>86.238785947500105</v>
      </c>
      <c r="H1088" s="441">
        <f t="shared" si="180"/>
        <v>172.47757189500001</v>
      </c>
      <c r="I1088" s="520">
        <v>103.5</v>
      </c>
    </row>
    <row r="1089" spans="1:9" ht="15" customHeight="1" thickBot="1">
      <c r="A1089" s="94">
        <v>101895</v>
      </c>
      <c r="B1089" s="95" t="s">
        <v>45</v>
      </c>
      <c r="C1089" s="74" t="s">
        <v>46</v>
      </c>
      <c r="D1089" s="74" t="s">
        <v>47</v>
      </c>
      <c r="E1089" s="78" t="s">
        <v>1514</v>
      </c>
      <c r="F1089" s="440">
        <f>ROUND(1,15)</f>
        <v>1</v>
      </c>
      <c r="G1089" s="440">
        <f t="shared" si="179"/>
        <v>342.46380108485039</v>
      </c>
      <c r="H1089" s="441">
        <f t="shared" si="180"/>
        <v>342.46380108484999</v>
      </c>
      <c r="I1089" s="521">
        <v>411.01</v>
      </c>
    </row>
    <row r="1090" spans="1:9" ht="15" thickBot="1">
      <c r="A1090" s="94" t="s">
        <v>887</v>
      </c>
      <c r="B1090" s="95" t="s">
        <v>57</v>
      </c>
      <c r="C1090" s="74" t="s">
        <v>46</v>
      </c>
      <c r="D1090" s="74" t="s">
        <v>47</v>
      </c>
      <c r="E1090" s="78" t="s">
        <v>888</v>
      </c>
      <c r="F1090" s="440">
        <f>ROUND(1,15)</f>
        <v>1</v>
      </c>
      <c r="G1090" s="440">
        <f t="shared" si="179"/>
        <v>242.7600993797503</v>
      </c>
      <c r="H1090" s="441">
        <f t="shared" si="180"/>
        <v>242.76009937974999</v>
      </c>
      <c r="I1090" s="520">
        <v>291.35000000000002</v>
      </c>
    </row>
    <row r="1091" spans="1:9" ht="15" thickBot="1">
      <c r="A1091" s="94" t="s">
        <v>889</v>
      </c>
      <c r="B1091" s="95" t="s">
        <v>57</v>
      </c>
      <c r="C1091" s="74" t="s">
        <v>46</v>
      </c>
      <c r="D1091" s="74" t="s">
        <v>47</v>
      </c>
      <c r="E1091" s="78" t="s">
        <v>890</v>
      </c>
      <c r="F1091" s="440">
        <f>ROUND(4,15)</f>
        <v>4</v>
      </c>
      <c r="G1091" s="440">
        <f t="shared" si="179"/>
        <v>90.788194365600106</v>
      </c>
      <c r="H1091" s="441">
        <f t="shared" si="180"/>
        <v>363.15277746240002</v>
      </c>
      <c r="I1091" s="520">
        <v>108.96</v>
      </c>
    </row>
    <row r="1092" spans="1:9" ht="26.1" customHeight="1" thickBot="1">
      <c r="A1092" s="96">
        <v>101881</v>
      </c>
      <c r="B1092" s="97" t="s">
        <v>45</v>
      </c>
      <c r="C1092" s="60" t="s">
        <v>46</v>
      </c>
      <c r="D1092" s="60" t="s">
        <v>47</v>
      </c>
      <c r="E1092" s="61" t="s">
        <v>1515</v>
      </c>
      <c r="F1092" s="442">
        <f>ROUND(1,15)</f>
        <v>1</v>
      </c>
      <c r="G1092" s="437">
        <f t="shared" si="179"/>
        <v>672.33757264635074</v>
      </c>
      <c r="H1092" s="443">
        <f t="shared" si="180"/>
        <v>672.33757264635096</v>
      </c>
      <c r="I1092" s="520">
        <v>806.91</v>
      </c>
    </row>
    <row r="1093" spans="1:9" ht="15.75" thickTop="1" thickBot="1">
      <c r="A1093" s="51"/>
      <c r="B1093" s="52"/>
      <c r="C1093" s="52"/>
      <c r="D1093" s="136"/>
      <c r="E1093" s="435" t="s">
        <v>880</v>
      </c>
      <c r="F1093" s="416"/>
      <c r="G1093" s="417">
        <f>H1085+H1086+H1087+H1088+H1089+H1090+H1091+H1092</f>
        <v>1997.3152792936512</v>
      </c>
      <c r="H1093" s="418">
        <f>ROUND(G1093,15)</f>
        <v>1997.3152792936501</v>
      </c>
      <c r="I1093" s="520"/>
    </row>
    <row r="1094" spans="1:9" ht="15.75" thickTop="1" thickBot="1">
      <c r="A1094" s="300" t="s">
        <v>891</v>
      </c>
      <c r="B1094" s="301"/>
      <c r="C1094" s="301" t="s">
        <v>38</v>
      </c>
      <c r="D1094" s="302"/>
      <c r="E1094" s="369" t="s">
        <v>892</v>
      </c>
      <c r="F1094" s="304"/>
      <c r="G1094" s="305">
        <f>G1101</f>
        <v>1499.9632857471511</v>
      </c>
      <c r="H1094" s="306">
        <f>ROUND(G1094,15)</f>
        <v>1499.9632857471499</v>
      </c>
      <c r="I1094" s="520"/>
    </row>
    <row r="1095" spans="1:9" ht="26.1" customHeight="1" thickTop="1" thickBot="1">
      <c r="A1095" s="90">
        <v>93653</v>
      </c>
      <c r="B1095" s="91" t="s">
        <v>45</v>
      </c>
      <c r="C1095" s="54" t="s">
        <v>46</v>
      </c>
      <c r="D1095" s="54" t="s">
        <v>47</v>
      </c>
      <c r="E1095" s="55" t="s">
        <v>893</v>
      </c>
      <c r="F1095" s="436">
        <f>ROUND(16,15)</f>
        <v>16</v>
      </c>
      <c r="G1095" s="437">
        <f t="shared" ref="G1095:G1100" si="181">I1095*(100%-$I$14)</f>
        <v>9.3237875821500111</v>
      </c>
      <c r="H1095" s="438">
        <f t="shared" ref="H1095:H1100" si="182">ROUND(F1095*G1095,15)</f>
        <v>149.18060131440001</v>
      </c>
      <c r="I1095" s="520">
        <v>11.19</v>
      </c>
    </row>
    <row r="1096" spans="1:9" ht="26.1" customHeight="1" thickBot="1">
      <c r="A1096" s="92">
        <v>93655</v>
      </c>
      <c r="B1096" s="93" t="s">
        <v>45</v>
      </c>
      <c r="C1096" s="58" t="s">
        <v>46</v>
      </c>
      <c r="D1096" s="58" t="s">
        <v>47</v>
      </c>
      <c r="E1096" s="59" t="s">
        <v>894</v>
      </c>
      <c r="F1096" s="437">
        <f>ROUND(11,15)</f>
        <v>11</v>
      </c>
      <c r="G1096" s="437">
        <f t="shared" si="181"/>
        <v>10.606954059050013</v>
      </c>
      <c r="H1096" s="439">
        <f t="shared" si="182"/>
        <v>116.67649464954999</v>
      </c>
      <c r="I1096" s="520">
        <v>12.73</v>
      </c>
    </row>
    <row r="1097" spans="1:9" ht="26.1" customHeight="1" thickBot="1">
      <c r="A1097" s="92">
        <v>93672</v>
      </c>
      <c r="B1097" s="93" t="s">
        <v>45</v>
      </c>
      <c r="C1097" s="58" t="s">
        <v>46</v>
      </c>
      <c r="D1097" s="58" t="s">
        <v>47</v>
      </c>
      <c r="E1097" s="59" t="s">
        <v>884</v>
      </c>
      <c r="F1097" s="437">
        <f>ROUND(1,15)</f>
        <v>1</v>
      </c>
      <c r="G1097" s="437">
        <f t="shared" si="181"/>
        <v>69.799256993450072</v>
      </c>
      <c r="H1097" s="439">
        <f t="shared" si="182"/>
        <v>69.799256993450101</v>
      </c>
      <c r="I1097" s="520">
        <v>83.77</v>
      </c>
    </row>
    <row r="1098" spans="1:9" ht="15" thickBot="1">
      <c r="A1098" s="94" t="s">
        <v>895</v>
      </c>
      <c r="B1098" s="95" t="s">
        <v>57</v>
      </c>
      <c r="C1098" s="74" t="s">
        <v>46</v>
      </c>
      <c r="D1098" s="74" t="s">
        <v>47</v>
      </c>
      <c r="E1098" s="78" t="s">
        <v>896</v>
      </c>
      <c r="F1098" s="440">
        <f>ROUND(1,15)</f>
        <v>1</v>
      </c>
      <c r="G1098" s="440">
        <f t="shared" si="181"/>
        <v>128.81658268100014</v>
      </c>
      <c r="H1098" s="441">
        <f t="shared" si="182"/>
        <v>128.816582681</v>
      </c>
      <c r="I1098" s="520">
        <v>154.6</v>
      </c>
    </row>
    <row r="1099" spans="1:9" ht="15" thickBot="1">
      <c r="A1099" s="94" t="s">
        <v>889</v>
      </c>
      <c r="B1099" s="95" t="s">
        <v>57</v>
      </c>
      <c r="C1099" s="74" t="s">
        <v>46</v>
      </c>
      <c r="D1099" s="74" t="s">
        <v>47</v>
      </c>
      <c r="E1099" s="78" t="s">
        <v>890</v>
      </c>
      <c r="F1099" s="440">
        <f>ROUND(4,15)</f>
        <v>4</v>
      </c>
      <c r="G1099" s="440">
        <f t="shared" si="181"/>
        <v>90.788194365600106</v>
      </c>
      <c r="H1099" s="441">
        <f t="shared" si="182"/>
        <v>363.15277746240002</v>
      </c>
      <c r="I1099" s="520">
        <v>108.96</v>
      </c>
    </row>
    <row r="1100" spans="1:9" ht="26.1" customHeight="1" thickBot="1">
      <c r="A1100" s="96">
        <v>101881</v>
      </c>
      <c r="B1100" s="97" t="s">
        <v>45</v>
      </c>
      <c r="C1100" s="60" t="s">
        <v>46</v>
      </c>
      <c r="D1100" s="60" t="s">
        <v>47</v>
      </c>
      <c r="E1100" s="61" t="s">
        <v>1517</v>
      </c>
      <c r="F1100" s="442">
        <f>ROUND(1,15)</f>
        <v>1</v>
      </c>
      <c r="G1100" s="437">
        <f t="shared" si="181"/>
        <v>672.33757264635074</v>
      </c>
      <c r="H1100" s="443">
        <f t="shared" si="182"/>
        <v>672.33757264635096</v>
      </c>
      <c r="I1100" s="520">
        <v>806.91</v>
      </c>
    </row>
    <row r="1101" spans="1:9" ht="15.75" thickTop="1" thickBot="1">
      <c r="A1101" s="51"/>
      <c r="B1101" s="52"/>
      <c r="C1101" s="52"/>
      <c r="D1101" s="136"/>
      <c r="E1101" s="435" t="s">
        <v>891</v>
      </c>
      <c r="F1101" s="416"/>
      <c r="G1101" s="417">
        <f>H1095+H1096+H1097+H1098+H1099+H1100</f>
        <v>1499.9632857471511</v>
      </c>
      <c r="H1101" s="418">
        <f>ROUND(G1101,15)</f>
        <v>1499.9632857471499</v>
      </c>
      <c r="I1101" s="520"/>
    </row>
    <row r="1102" spans="1:9" ht="15.75" thickTop="1" thickBot="1">
      <c r="A1102" s="300" t="s">
        <v>897</v>
      </c>
      <c r="B1102" s="301"/>
      <c r="C1102" s="301" t="s">
        <v>38</v>
      </c>
      <c r="D1102" s="302"/>
      <c r="E1102" s="369" t="s">
        <v>898</v>
      </c>
      <c r="F1102" s="304"/>
      <c r="G1102" s="305">
        <f>G1109</f>
        <v>1116.5214799000014</v>
      </c>
      <c r="H1102" s="306">
        <f>ROUND(G1102,15)</f>
        <v>1116.5214799</v>
      </c>
      <c r="I1102" s="520"/>
    </row>
    <row r="1103" spans="1:9" ht="26.1" customHeight="1" thickTop="1" thickBot="1">
      <c r="A1103" s="90">
        <v>93655</v>
      </c>
      <c r="B1103" s="91" t="s">
        <v>45</v>
      </c>
      <c r="C1103" s="54" t="s">
        <v>46</v>
      </c>
      <c r="D1103" s="54" t="s">
        <v>47</v>
      </c>
      <c r="E1103" s="55" t="s">
        <v>894</v>
      </c>
      <c r="F1103" s="436">
        <f>ROUND(5,15)</f>
        <v>5</v>
      </c>
      <c r="G1103" s="437">
        <f t="shared" ref="G1103:G1108" si="183">I1103*(100%-$I$14)</f>
        <v>10.606954059050013</v>
      </c>
      <c r="H1103" s="438">
        <f t="shared" ref="H1103:H1108" si="184">ROUND(F1103*G1103,15)</f>
        <v>53.034770295250098</v>
      </c>
      <c r="I1103" s="520">
        <v>12.73</v>
      </c>
    </row>
    <row r="1104" spans="1:9" ht="26.1" customHeight="1" thickBot="1">
      <c r="A1104" s="92">
        <v>93656</v>
      </c>
      <c r="B1104" s="93" t="s">
        <v>45</v>
      </c>
      <c r="C1104" s="58" t="s">
        <v>46</v>
      </c>
      <c r="D1104" s="58" t="s">
        <v>47</v>
      </c>
      <c r="E1104" s="59" t="s">
        <v>882</v>
      </c>
      <c r="F1104" s="437">
        <f>ROUND(3,15)</f>
        <v>3</v>
      </c>
      <c r="G1104" s="437">
        <f t="shared" si="183"/>
        <v>10.606954059050013</v>
      </c>
      <c r="H1104" s="439">
        <f t="shared" si="184"/>
        <v>31.820862177150001</v>
      </c>
      <c r="I1104" s="520">
        <v>12.73</v>
      </c>
    </row>
    <row r="1105" spans="1:9" ht="26.1" customHeight="1" thickBot="1">
      <c r="A1105" s="92">
        <v>93672</v>
      </c>
      <c r="B1105" s="93" t="s">
        <v>45</v>
      </c>
      <c r="C1105" s="58" t="s">
        <v>46</v>
      </c>
      <c r="D1105" s="58" t="s">
        <v>47</v>
      </c>
      <c r="E1105" s="59" t="s">
        <v>884</v>
      </c>
      <c r="F1105" s="437">
        <f>ROUND(1,15)</f>
        <v>1</v>
      </c>
      <c r="G1105" s="437">
        <f t="shared" si="183"/>
        <v>69.799256993450072</v>
      </c>
      <c r="H1105" s="439">
        <f t="shared" si="184"/>
        <v>69.799256993450101</v>
      </c>
      <c r="I1105" s="520">
        <v>83.77</v>
      </c>
    </row>
    <row r="1106" spans="1:9" ht="15" thickBot="1">
      <c r="A1106" s="94" t="s">
        <v>899</v>
      </c>
      <c r="B1106" s="95" t="s">
        <v>57</v>
      </c>
      <c r="C1106" s="74" t="s">
        <v>46</v>
      </c>
      <c r="D1106" s="74" t="s">
        <v>47</v>
      </c>
      <c r="E1106" s="78" t="s">
        <v>900</v>
      </c>
      <c r="F1106" s="440">
        <f>ROUND(1,15)</f>
        <v>1</v>
      </c>
      <c r="G1106" s="440">
        <f t="shared" si="183"/>
        <v>130.85798389425017</v>
      </c>
      <c r="H1106" s="441">
        <f t="shared" si="184"/>
        <v>130.85798389425</v>
      </c>
      <c r="I1106" s="520">
        <v>157.05000000000001</v>
      </c>
    </row>
    <row r="1107" spans="1:9" ht="15" thickBot="1">
      <c r="A1107" s="94" t="s">
        <v>889</v>
      </c>
      <c r="B1107" s="95" t="s">
        <v>57</v>
      </c>
      <c r="C1107" s="74" t="s">
        <v>46</v>
      </c>
      <c r="D1107" s="74" t="s">
        <v>47</v>
      </c>
      <c r="E1107" s="78" t="s">
        <v>890</v>
      </c>
      <c r="F1107" s="440">
        <f>ROUND(4,15)</f>
        <v>4</v>
      </c>
      <c r="G1107" s="440">
        <f t="shared" si="183"/>
        <v>90.788194365600106</v>
      </c>
      <c r="H1107" s="441">
        <f t="shared" si="184"/>
        <v>363.15277746240002</v>
      </c>
      <c r="I1107" s="520">
        <v>108.96</v>
      </c>
    </row>
    <row r="1108" spans="1:9" ht="26.1" customHeight="1" thickBot="1">
      <c r="A1108" s="96">
        <v>101880</v>
      </c>
      <c r="B1108" s="97" t="s">
        <v>45</v>
      </c>
      <c r="C1108" s="60" t="s">
        <v>46</v>
      </c>
      <c r="D1108" s="60" t="s">
        <v>47</v>
      </c>
      <c r="E1108" s="61" t="s">
        <v>1516</v>
      </c>
      <c r="F1108" s="442">
        <f>ROUND(1,15)</f>
        <v>1</v>
      </c>
      <c r="G1108" s="437">
        <f t="shared" si="183"/>
        <v>467.85582907750057</v>
      </c>
      <c r="H1108" s="443">
        <f t="shared" si="184"/>
        <v>467.85582907750103</v>
      </c>
      <c r="I1108" s="520">
        <v>561.5</v>
      </c>
    </row>
    <row r="1109" spans="1:9" ht="15.75" thickTop="1" thickBot="1">
      <c r="A1109" s="51"/>
      <c r="B1109" s="52"/>
      <c r="C1109" s="52"/>
      <c r="D1109" s="136"/>
      <c r="E1109" s="435" t="s">
        <v>897</v>
      </c>
      <c r="F1109" s="416"/>
      <c r="G1109" s="417">
        <f>H1103+H1104+H1105+H1106+H1107+H1108</f>
        <v>1116.5214799000014</v>
      </c>
      <c r="H1109" s="418">
        <f>ROUND(G1109,15)</f>
        <v>1116.5214799</v>
      </c>
      <c r="I1109" s="520"/>
    </row>
    <row r="1110" spans="1:9" ht="15.75" thickTop="1" thickBot="1">
      <c r="A1110" s="300" t="s">
        <v>901</v>
      </c>
      <c r="B1110" s="301"/>
      <c r="C1110" s="301" t="s">
        <v>38</v>
      </c>
      <c r="D1110" s="302"/>
      <c r="E1110" s="369" t="s">
        <v>902</v>
      </c>
      <c r="F1110" s="304"/>
      <c r="G1110" s="305">
        <f>G1118</f>
        <v>1090.3998766202512</v>
      </c>
      <c r="H1110" s="306">
        <f>ROUND(G1110,15)</f>
        <v>1090.3998766202501</v>
      </c>
      <c r="I1110" s="520"/>
    </row>
    <row r="1111" spans="1:9" ht="26.1" customHeight="1" thickTop="1" thickBot="1">
      <c r="A1111" s="90">
        <v>93653</v>
      </c>
      <c r="B1111" s="91" t="s">
        <v>45</v>
      </c>
      <c r="C1111" s="54" t="s">
        <v>46</v>
      </c>
      <c r="D1111" s="54" t="s">
        <v>47</v>
      </c>
      <c r="E1111" s="55" t="s">
        <v>893</v>
      </c>
      <c r="F1111" s="436">
        <f>ROUND(1,15)</f>
        <v>1</v>
      </c>
      <c r="G1111" s="437">
        <f t="shared" ref="G1111:G1117" si="185">I1111*(100%-$I$14)</f>
        <v>9.3237875821500111</v>
      </c>
      <c r="H1111" s="438">
        <f t="shared" ref="H1111:H1117" si="186">ROUND(F1111*G1111,15)</f>
        <v>9.3237875821500094</v>
      </c>
      <c r="I1111" s="520">
        <v>11.19</v>
      </c>
    </row>
    <row r="1112" spans="1:9" ht="26.1" customHeight="1" thickBot="1">
      <c r="A1112" s="92">
        <v>93654</v>
      </c>
      <c r="B1112" s="93" t="s">
        <v>45</v>
      </c>
      <c r="C1112" s="58" t="s">
        <v>46</v>
      </c>
      <c r="D1112" s="58" t="s">
        <v>47</v>
      </c>
      <c r="E1112" s="59" t="s">
        <v>903</v>
      </c>
      <c r="F1112" s="437">
        <f>ROUND(5,15)</f>
        <v>5</v>
      </c>
      <c r="G1112" s="437">
        <f t="shared" si="185"/>
        <v>9.7570645743500126</v>
      </c>
      <c r="H1112" s="439">
        <f t="shared" si="186"/>
        <v>48.785322871750097</v>
      </c>
      <c r="I1112" s="520">
        <v>11.71</v>
      </c>
    </row>
    <row r="1113" spans="1:9" ht="26.1" customHeight="1" thickBot="1">
      <c r="A1113" s="92">
        <v>93655</v>
      </c>
      <c r="B1113" s="93" t="s">
        <v>45</v>
      </c>
      <c r="C1113" s="58" t="s">
        <v>46</v>
      </c>
      <c r="D1113" s="58" t="s">
        <v>47</v>
      </c>
      <c r="E1113" s="59" t="s">
        <v>894</v>
      </c>
      <c r="F1113" s="437">
        <f>ROUND(1,15)</f>
        <v>1</v>
      </c>
      <c r="G1113" s="437">
        <f t="shared" si="185"/>
        <v>10.606954059050013</v>
      </c>
      <c r="H1113" s="439">
        <f t="shared" si="186"/>
        <v>10.60695405905</v>
      </c>
      <c r="I1113" s="520">
        <v>12.73</v>
      </c>
    </row>
    <row r="1114" spans="1:9" ht="26.1" customHeight="1" thickBot="1">
      <c r="A1114" s="92">
        <v>93670</v>
      </c>
      <c r="B1114" s="93" t="s">
        <v>45</v>
      </c>
      <c r="C1114" s="58" t="s">
        <v>46</v>
      </c>
      <c r="D1114" s="58" t="s">
        <v>47</v>
      </c>
      <c r="E1114" s="59" t="s">
        <v>883</v>
      </c>
      <c r="F1114" s="437">
        <f>ROUND(1,15)</f>
        <v>1</v>
      </c>
      <c r="G1114" s="437">
        <f t="shared" si="185"/>
        <v>61.85862288640007</v>
      </c>
      <c r="H1114" s="439">
        <f t="shared" si="186"/>
        <v>61.858622886400099</v>
      </c>
      <c r="I1114" s="520">
        <v>74.239999999999995</v>
      </c>
    </row>
    <row r="1115" spans="1:9" ht="15" thickBot="1">
      <c r="A1115" s="94" t="s">
        <v>895</v>
      </c>
      <c r="B1115" s="95" t="s">
        <v>57</v>
      </c>
      <c r="C1115" s="74" t="s">
        <v>46</v>
      </c>
      <c r="D1115" s="74" t="s">
        <v>47</v>
      </c>
      <c r="E1115" s="78" t="s">
        <v>896</v>
      </c>
      <c r="F1115" s="440">
        <f>ROUND(1,15)</f>
        <v>1</v>
      </c>
      <c r="G1115" s="440">
        <f t="shared" si="185"/>
        <v>128.81658268100014</v>
      </c>
      <c r="H1115" s="441">
        <f t="shared" si="186"/>
        <v>128.816582681</v>
      </c>
      <c r="I1115" s="520">
        <v>154.6</v>
      </c>
    </row>
    <row r="1116" spans="1:9" ht="15" thickBot="1">
      <c r="A1116" s="94" t="s">
        <v>889</v>
      </c>
      <c r="B1116" s="95" t="s">
        <v>57</v>
      </c>
      <c r="C1116" s="74" t="s">
        <v>46</v>
      </c>
      <c r="D1116" s="74" t="s">
        <v>47</v>
      </c>
      <c r="E1116" s="78" t="s">
        <v>890</v>
      </c>
      <c r="F1116" s="440">
        <f>ROUND(4,15)</f>
        <v>4</v>
      </c>
      <c r="G1116" s="440">
        <f t="shared" si="185"/>
        <v>90.788194365600106</v>
      </c>
      <c r="H1116" s="441">
        <f t="shared" si="186"/>
        <v>363.15277746240002</v>
      </c>
      <c r="I1116" s="520">
        <v>108.96</v>
      </c>
    </row>
    <row r="1117" spans="1:9" ht="26.1" customHeight="1" thickBot="1">
      <c r="A1117" s="96">
        <v>101880</v>
      </c>
      <c r="B1117" s="97" t="s">
        <v>45</v>
      </c>
      <c r="C1117" s="60" t="s">
        <v>46</v>
      </c>
      <c r="D1117" s="60" t="s">
        <v>47</v>
      </c>
      <c r="E1117" s="61" t="s">
        <v>1516</v>
      </c>
      <c r="F1117" s="442">
        <f>ROUND(1,15)</f>
        <v>1</v>
      </c>
      <c r="G1117" s="437">
        <f t="shared" si="185"/>
        <v>467.85582907750057</v>
      </c>
      <c r="H1117" s="443">
        <f t="shared" si="186"/>
        <v>467.85582907750103</v>
      </c>
      <c r="I1117" s="520">
        <v>561.5</v>
      </c>
    </row>
    <row r="1118" spans="1:9" ht="15.75" thickTop="1" thickBot="1">
      <c r="A1118" s="51"/>
      <c r="B1118" s="52"/>
      <c r="C1118" s="52"/>
      <c r="D1118" s="136"/>
      <c r="E1118" s="435" t="s">
        <v>901</v>
      </c>
      <c r="F1118" s="416"/>
      <c r="G1118" s="417">
        <f>H1111+H1112+H1113+H1114+H1115+H1116+H1117</f>
        <v>1090.3998766202512</v>
      </c>
      <c r="H1118" s="418">
        <f>ROUND(G1118,15)</f>
        <v>1090.3998766202501</v>
      </c>
      <c r="I1118" s="520"/>
    </row>
    <row r="1119" spans="1:9" ht="15.75" thickTop="1" thickBot="1">
      <c r="A1119" s="300" t="s">
        <v>904</v>
      </c>
      <c r="B1119" s="301"/>
      <c r="C1119" s="301" t="s">
        <v>38</v>
      </c>
      <c r="D1119" s="302"/>
      <c r="E1119" s="369" t="s">
        <v>905</v>
      </c>
      <c r="F1119" s="304"/>
      <c r="G1119" s="305">
        <f>G1126</f>
        <v>1472.091909998901</v>
      </c>
      <c r="H1119" s="306">
        <f>ROUND(G1119,15)</f>
        <v>1472.0919099989001</v>
      </c>
      <c r="I1119" s="520"/>
    </row>
    <row r="1120" spans="1:9" ht="26.1" customHeight="1" thickTop="1" thickBot="1">
      <c r="A1120" s="90">
        <v>93653</v>
      </c>
      <c r="B1120" s="91" t="s">
        <v>45</v>
      </c>
      <c r="C1120" s="54" t="s">
        <v>46</v>
      </c>
      <c r="D1120" s="54" t="s">
        <v>47</v>
      </c>
      <c r="E1120" s="55" t="s">
        <v>893</v>
      </c>
      <c r="F1120" s="436">
        <f>ROUND(15,15)</f>
        <v>15</v>
      </c>
      <c r="G1120" s="437">
        <f t="shared" ref="G1120:G1125" si="187">I1120*(100%-$I$14)</f>
        <v>9.3237875821500111</v>
      </c>
      <c r="H1120" s="438">
        <f t="shared" ref="H1120:H1125" si="188">ROUND(F1120*G1120,15)</f>
        <v>139.85681373225</v>
      </c>
      <c r="I1120" s="520">
        <v>11.19</v>
      </c>
    </row>
    <row r="1121" spans="1:9" ht="26.1" customHeight="1" thickBot="1">
      <c r="A1121" s="92">
        <v>93655</v>
      </c>
      <c r="B1121" s="93" t="s">
        <v>45</v>
      </c>
      <c r="C1121" s="58" t="s">
        <v>46</v>
      </c>
      <c r="D1121" s="58" t="s">
        <v>47</v>
      </c>
      <c r="E1121" s="59" t="s">
        <v>894</v>
      </c>
      <c r="F1121" s="437">
        <f>ROUND(10,15)</f>
        <v>10</v>
      </c>
      <c r="G1121" s="437">
        <f t="shared" si="187"/>
        <v>10.606954059050013</v>
      </c>
      <c r="H1121" s="439">
        <f t="shared" si="188"/>
        <v>106.0695405905</v>
      </c>
      <c r="I1121" s="520">
        <v>12.73</v>
      </c>
    </row>
    <row r="1122" spans="1:9" ht="26.1" customHeight="1" thickBot="1">
      <c r="A1122" s="92">
        <v>93670</v>
      </c>
      <c r="B1122" s="93" t="s">
        <v>45</v>
      </c>
      <c r="C1122" s="58" t="s">
        <v>46</v>
      </c>
      <c r="D1122" s="58" t="s">
        <v>47</v>
      </c>
      <c r="E1122" s="59" t="s">
        <v>883</v>
      </c>
      <c r="F1122" s="437">
        <f>ROUND(1,15)</f>
        <v>1</v>
      </c>
      <c r="G1122" s="437">
        <f t="shared" si="187"/>
        <v>61.85862288640007</v>
      </c>
      <c r="H1122" s="439">
        <f t="shared" si="188"/>
        <v>61.858622886400099</v>
      </c>
      <c r="I1122" s="520">
        <v>74.239999999999995</v>
      </c>
    </row>
    <row r="1123" spans="1:9" ht="15" thickBot="1">
      <c r="A1123" s="94" t="s">
        <v>895</v>
      </c>
      <c r="B1123" s="95" t="s">
        <v>57</v>
      </c>
      <c r="C1123" s="74" t="s">
        <v>46</v>
      </c>
      <c r="D1123" s="74" t="s">
        <v>47</v>
      </c>
      <c r="E1123" s="78" t="s">
        <v>896</v>
      </c>
      <c r="F1123" s="440">
        <f>ROUND(1,15)</f>
        <v>1</v>
      </c>
      <c r="G1123" s="440">
        <f t="shared" si="187"/>
        <v>128.81658268100014</v>
      </c>
      <c r="H1123" s="441">
        <f t="shared" si="188"/>
        <v>128.816582681</v>
      </c>
      <c r="I1123" s="520">
        <v>154.6</v>
      </c>
    </row>
    <row r="1124" spans="1:9" ht="15" thickBot="1">
      <c r="A1124" s="94" t="s">
        <v>889</v>
      </c>
      <c r="B1124" s="95" t="s">
        <v>57</v>
      </c>
      <c r="C1124" s="74" t="s">
        <v>46</v>
      </c>
      <c r="D1124" s="74" t="s">
        <v>47</v>
      </c>
      <c r="E1124" s="78" t="s">
        <v>890</v>
      </c>
      <c r="F1124" s="440">
        <f>ROUND(4,15)</f>
        <v>4</v>
      </c>
      <c r="G1124" s="440">
        <f t="shared" si="187"/>
        <v>90.788194365600106</v>
      </c>
      <c r="H1124" s="441">
        <f t="shared" si="188"/>
        <v>363.15277746240002</v>
      </c>
      <c r="I1124" s="520">
        <v>108.96</v>
      </c>
    </row>
    <row r="1125" spans="1:9" ht="26.1" customHeight="1" thickBot="1">
      <c r="A1125" s="96">
        <v>101881</v>
      </c>
      <c r="B1125" s="97" t="s">
        <v>45</v>
      </c>
      <c r="C1125" s="60" t="s">
        <v>46</v>
      </c>
      <c r="D1125" s="60" t="s">
        <v>47</v>
      </c>
      <c r="E1125" s="61" t="s">
        <v>1517</v>
      </c>
      <c r="F1125" s="442">
        <f>ROUND(1,15)</f>
        <v>1</v>
      </c>
      <c r="G1125" s="437">
        <f t="shared" si="187"/>
        <v>672.33757264635074</v>
      </c>
      <c r="H1125" s="443">
        <f t="shared" si="188"/>
        <v>672.33757264635096</v>
      </c>
      <c r="I1125" s="520">
        <v>806.91</v>
      </c>
    </row>
    <row r="1126" spans="1:9" ht="15.75" thickTop="1" thickBot="1">
      <c r="A1126" s="51"/>
      <c r="B1126" s="52"/>
      <c r="C1126" s="52"/>
      <c r="D1126" s="136"/>
      <c r="E1126" s="435" t="s">
        <v>904</v>
      </c>
      <c r="F1126" s="416"/>
      <c r="G1126" s="417">
        <f>H1120+H1121+H1122+H1123+H1124+H1125</f>
        <v>1472.091909998901</v>
      </c>
      <c r="H1126" s="418">
        <f>ROUND(G1126,15)</f>
        <v>1472.0919099989001</v>
      </c>
      <c r="I1126" s="520"/>
    </row>
    <row r="1127" spans="1:9" ht="15.75" thickTop="1" thickBot="1">
      <c r="A1127" s="300" t="s">
        <v>906</v>
      </c>
      <c r="B1127" s="301"/>
      <c r="C1127" s="301" t="s">
        <v>38</v>
      </c>
      <c r="D1127" s="302"/>
      <c r="E1127" s="369" t="s">
        <v>907</v>
      </c>
      <c r="F1127" s="304"/>
      <c r="G1127" s="305">
        <f>G1134</f>
        <v>1398.5931340720513</v>
      </c>
      <c r="H1127" s="306">
        <f>ROUND(G1127,15)</f>
        <v>1398.5931340720499</v>
      </c>
      <c r="I1127" s="520"/>
    </row>
    <row r="1128" spans="1:9" ht="26.1" customHeight="1" thickTop="1" thickBot="1">
      <c r="A1128" s="90">
        <v>93655</v>
      </c>
      <c r="B1128" s="91" t="s">
        <v>45</v>
      </c>
      <c r="C1128" s="54" t="s">
        <v>46</v>
      </c>
      <c r="D1128" s="54" t="s">
        <v>47</v>
      </c>
      <c r="E1128" s="55" t="s">
        <v>894</v>
      </c>
      <c r="F1128" s="436">
        <f>ROUND(8,15)</f>
        <v>8</v>
      </c>
      <c r="G1128" s="437">
        <f t="shared" ref="G1128:G1133" si="189">I1128*(100%-$I$14)</f>
        <v>10.606954059050013</v>
      </c>
      <c r="H1128" s="438">
        <f t="shared" ref="H1128:H1133" si="190">ROUND(F1128*G1128,15)</f>
        <v>84.855632472400103</v>
      </c>
      <c r="I1128" s="520">
        <v>12.73</v>
      </c>
    </row>
    <row r="1129" spans="1:9" ht="26.1" customHeight="1" thickBot="1">
      <c r="A1129" s="92">
        <v>93656</v>
      </c>
      <c r="B1129" s="93" t="s">
        <v>45</v>
      </c>
      <c r="C1129" s="58" t="s">
        <v>46</v>
      </c>
      <c r="D1129" s="58" t="s">
        <v>47</v>
      </c>
      <c r="E1129" s="59" t="s">
        <v>882</v>
      </c>
      <c r="F1129" s="437">
        <f>ROUND(5,15)</f>
        <v>5</v>
      </c>
      <c r="G1129" s="437">
        <f t="shared" si="189"/>
        <v>10.606954059050013</v>
      </c>
      <c r="H1129" s="439">
        <f t="shared" si="190"/>
        <v>53.034770295250098</v>
      </c>
      <c r="I1129" s="520">
        <v>12.73</v>
      </c>
    </row>
    <row r="1130" spans="1:9" ht="15" thickBot="1">
      <c r="A1130" s="94" t="s">
        <v>885</v>
      </c>
      <c r="B1130" s="95" t="s">
        <v>148</v>
      </c>
      <c r="C1130" s="74" t="s">
        <v>46</v>
      </c>
      <c r="D1130" s="74" t="s">
        <v>47</v>
      </c>
      <c r="E1130" s="78" t="s">
        <v>886</v>
      </c>
      <c r="F1130" s="440">
        <f>ROUND(1,15)</f>
        <v>1</v>
      </c>
      <c r="G1130" s="440">
        <f t="shared" si="189"/>
        <v>86.238785947500105</v>
      </c>
      <c r="H1130" s="441">
        <f t="shared" si="190"/>
        <v>86.238785947500105</v>
      </c>
      <c r="I1130" s="520">
        <v>103.5</v>
      </c>
    </row>
    <row r="1131" spans="1:9" ht="15" thickBot="1">
      <c r="A1131" s="94" t="s">
        <v>908</v>
      </c>
      <c r="B1131" s="95" t="s">
        <v>57</v>
      </c>
      <c r="C1131" s="74" t="s">
        <v>46</v>
      </c>
      <c r="D1131" s="74" t="s">
        <v>47</v>
      </c>
      <c r="E1131" s="78" t="s">
        <v>909</v>
      </c>
      <c r="F1131" s="440">
        <f>ROUND(1,15)</f>
        <v>1</v>
      </c>
      <c r="G1131" s="440">
        <f t="shared" si="189"/>
        <v>138.97359524815016</v>
      </c>
      <c r="H1131" s="441">
        <f t="shared" si="190"/>
        <v>138.97359524814999</v>
      </c>
      <c r="I1131" s="520">
        <v>166.79</v>
      </c>
    </row>
    <row r="1132" spans="1:9" ht="15" thickBot="1">
      <c r="A1132" s="94" t="s">
        <v>889</v>
      </c>
      <c r="B1132" s="95" t="s">
        <v>57</v>
      </c>
      <c r="C1132" s="74" t="s">
        <v>46</v>
      </c>
      <c r="D1132" s="74" t="s">
        <v>47</v>
      </c>
      <c r="E1132" s="78" t="s">
        <v>890</v>
      </c>
      <c r="F1132" s="440">
        <f>ROUND(4,15)</f>
        <v>4</v>
      </c>
      <c r="G1132" s="440">
        <f t="shared" si="189"/>
        <v>90.788194365600106</v>
      </c>
      <c r="H1132" s="441">
        <f t="shared" si="190"/>
        <v>363.15277746240002</v>
      </c>
      <c r="I1132" s="520">
        <v>108.96</v>
      </c>
    </row>
    <row r="1133" spans="1:9" ht="26.1" customHeight="1" thickBot="1">
      <c r="A1133" s="96">
        <v>101881</v>
      </c>
      <c r="B1133" s="97" t="s">
        <v>45</v>
      </c>
      <c r="C1133" s="60" t="s">
        <v>46</v>
      </c>
      <c r="D1133" s="60" t="s">
        <v>47</v>
      </c>
      <c r="E1133" s="61" t="s">
        <v>1517</v>
      </c>
      <c r="F1133" s="442">
        <f>ROUND(1,15)</f>
        <v>1</v>
      </c>
      <c r="G1133" s="437">
        <f t="shared" si="189"/>
        <v>672.33757264635074</v>
      </c>
      <c r="H1133" s="443">
        <f t="shared" si="190"/>
        <v>672.33757264635096</v>
      </c>
      <c r="I1133" s="520">
        <v>806.91</v>
      </c>
    </row>
    <row r="1134" spans="1:9" ht="15.75" thickTop="1" thickBot="1">
      <c r="A1134" s="44"/>
      <c r="B1134" s="45"/>
      <c r="C1134" s="45"/>
      <c r="D1134" s="46"/>
      <c r="E1134" s="435" t="s">
        <v>906</v>
      </c>
      <c r="F1134" s="416"/>
      <c r="G1134" s="417">
        <f>H1128+H1129+H1130+H1131+H1132+H1133</f>
        <v>1398.5931340720513</v>
      </c>
      <c r="H1134" s="418">
        <f>ROUND(G1134,15)</f>
        <v>1398.5931340720499</v>
      </c>
      <c r="I1134" s="520"/>
    </row>
    <row r="1135" spans="1:9" ht="15.75" thickTop="1" thickBot="1">
      <c r="A1135" s="300" t="s">
        <v>910</v>
      </c>
      <c r="B1135" s="301"/>
      <c r="C1135" s="301" t="s">
        <v>38</v>
      </c>
      <c r="D1135" s="302"/>
      <c r="E1135" s="369" t="s">
        <v>911</v>
      </c>
      <c r="F1135" s="304"/>
      <c r="G1135" s="305">
        <f>G1142</f>
        <v>779.0736932248501</v>
      </c>
      <c r="H1135" s="306">
        <f>ROUND(G1135,15)</f>
        <v>779.07369322484999</v>
      </c>
      <c r="I1135" s="520"/>
    </row>
    <row r="1136" spans="1:9" ht="26.1" customHeight="1" thickTop="1" thickBot="1">
      <c r="A1136" s="90">
        <v>93653</v>
      </c>
      <c r="B1136" s="91" t="s">
        <v>45</v>
      </c>
      <c r="C1136" s="54" t="s">
        <v>46</v>
      </c>
      <c r="D1136" s="54" t="s">
        <v>47</v>
      </c>
      <c r="E1136" s="55" t="s">
        <v>893</v>
      </c>
      <c r="F1136" s="436">
        <f>ROUND(1,15)</f>
        <v>1</v>
      </c>
      <c r="G1136" s="437">
        <f t="shared" ref="G1136:G1141" si="191">I1136*(100%-$I$14)</f>
        <v>9.3237875821500111</v>
      </c>
      <c r="H1136" s="438">
        <f t="shared" ref="H1136:H1141" si="192">ROUND(F1136*G1136,15)</f>
        <v>9.3237875821500094</v>
      </c>
      <c r="I1136" s="520">
        <v>11.19</v>
      </c>
    </row>
    <row r="1137" spans="1:9" ht="26.1" customHeight="1" thickBot="1">
      <c r="A1137" s="92">
        <v>93655</v>
      </c>
      <c r="B1137" s="93" t="s">
        <v>45</v>
      </c>
      <c r="C1137" s="58" t="s">
        <v>46</v>
      </c>
      <c r="D1137" s="58" t="s">
        <v>47</v>
      </c>
      <c r="E1137" s="59" t="s">
        <v>894</v>
      </c>
      <c r="F1137" s="437">
        <f>ROUND(4,15)</f>
        <v>4</v>
      </c>
      <c r="G1137" s="437">
        <f t="shared" si="191"/>
        <v>10.606954059050013</v>
      </c>
      <c r="H1137" s="439">
        <f t="shared" si="192"/>
        <v>42.427816236200101</v>
      </c>
      <c r="I1137" s="520">
        <v>12.73</v>
      </c>
    </row>
    <row r="1138" spans="1:9" ht="26.1" customHeight="1" thickBot="1">
      <c r="A1138" s="92">
        <v>93656</v>
      </c>
      <c r="B1138" s="93" t="s">
        <v>45</v>
      </c>
      <c r="C1138" s="58" t="s">
        <v>46</v>
      </c>
      <c r="D1138" s="58" t="s">
        <v>47</v>
      </c>
      <c r="E1138" s="59" t="s">
        <v>882</v>
      </c>
      <c r="F1138" s="437">
        <f>ROUND(1,15)</f>
        <v>1</v>
      </c>
      <c r="G1138" s="437">
        <f t="shared" si="191"/>
        <v>10.606954059050013</v>
      </c>
      <c r="H1138" s="439">
        <f t="shared" si="192"/>
        <v>10.60695405905</v>
      </c>
      <c r="I1138" s="520">
        <v>12.73</v>
      </c>
    </row>
    <row r="1139" spans="1:9" ht="15" thickBot="1">
      <c r="A1139" s="94" t="s">
        <v>895</v>
      </c>
      <c r="B1139" s="95" t="s">
        <v>57</v>
      </c>
      <c r="C1139" s="74" t="s">
        <v>46</v>
      </c>
      <c r="D1139" s="74" t="s">
        <v>47</v>
      </c>
      <c r="E1139" s="78" t="s">
        <v>896</v>
      </c>
      <c r="F1139" s="440">
        <f>ROUND(1,15)</f>
        <v>1</v>
      </c>
      <c r="G1139" s="440">
        <f t="shared" si="191"/>
        <v>128.81658268100014</v>
      </c>
      <c r="H1139" s="441">
        <f t="shared" si="192"/>
        <v>128.816582681</v>
      </c>
      <c r="I1139" s="520">
        <v>154.6</v>
      </c>
    </row>
    <row r="1140" spans="1:9" ht="15" thickBot="1">
      <c r="A1140" s="94" t="s">
        <v>889</v>
      </c>
      <c r="B1140" s="95" t="s">
        <v>57</v>
      </c>
      <c r="C1140" s="74" t="s">
        <v>46</v>
      </c>
      <c r="D1140" s="74" t="s">
        <v>47</v>
      </c>
      <c r="E1140" s="78" t="s">
        <v>890</v>
      </c>
      <c r="F1140" s="440">
        <f>ROUND(2,15)</f>
        <v>2</v>
      </c>
      <c r="G1140" s="440">
        <f t="shared" si="191"/>
        <v>90.788194365600106</v>
      </c>
      <c r="H1140" s="441">
        <f t="shared" si="192"/>
        <v>181.57638873120001</v>
      </c>
      <c r="I1140" s="520">
        <v>108.96</v>
      </c>
    </row>
    <row r="1141" spans="1:9" ht="26.1" customHeight="1" thickBot="1">
      <c r="A1141" s="96">
        <v>101879</v>
      </c>
      <c r="B1141" s="97" t="s">
        <v>45</v>
      </c>
      <c r="C1141" s="60" t="s">
        <v>46</v>
      </c>
      <c r="D1141" s="60" t="s">
        <v>47</v>
      </c>
      <c r="E1141" s="61" t="s">
        <v>1518</v>
      </c>
      <c r="F1141" s="442">
        <f>ROUND(1,15)</f>
        <v>1</v>
      </c>
      <c r="G1141" s="437">
        <f t="shared" si="191"/>
        <v>406.32216393525044</v>
      </c>
      <c r="H1141" s="443">
        <f t="shared" si="192"/>
        <v>406.32216393524999</v>
      </c>
      <c r="I1141" s="520">
        <v>487.65</v>
      </c>
    </row>
    <row r="1142" spans="1:9" ht="15.75" thickTop="1" thickBot="1">
      <c r="A1142" s="44"/>
      <c r="B1142" s="45"/>
      <c r="C1142" s="45"/>
      <c r="D1142" s="46"/>
      <c r="E1142" s="435" t="s">
        <v>910</v>
      </c>
      <c r="F1142" s="416"/>
      <c r="G1142" s="417">
        <f>H1136+H1137+H1138+H1139+H1140+H1141</f>
        <v>779.0736932248501</v>
      </c>
      <c r="H1142" s="418">
        <f>ROUND(G1142,15)</f>
        <v>779.07369322484999</v>
      </c>
      <c r="I1142" s="520"/>
    </row>
    <row r="1143" spans="1:9" ht="15.75" thickTop="1" thickBot="1">
      <c r="A1143" s="300" t="s">
        <v>912</v>
      </c>
      <c r="B1143" s="301"/>
      <c r="C1143" s="301" t="s">
        <v>38</v>
      </c>
      <c r="D1143" s="302"/>
      <c r="E1143" s="369" t="s">
        <v>913</v>
      </c>
      <c r="F1143" s="304"/>
      <c r="G1143" s="305">
        <f>G1148</f>
        <v>980.03089510715108</v>
      </c>
      <c r="H1143" s="306">
        <f>ROUND(G1143,15)</f>
        <v>980.03089510715097</v>
      </c>
      <c r="I1143" s="520"/>
    </row>
    <row r="1144" spans="1:9" ht="26.1" customHeight="1" thickTop="1" thickBot="1">
      <c r="A1144" s="90">
        <v>93668</v>
      </c>
      <c r="B1144" s="91" t="s">
        <v>45</v>
      </c>
      <c r="C1144" s="54" t="s">
        <v>46</v>
      </c>
      <c r="D1144" s="54" t="s">
        <v>47</v>
      </c>
      <c r="E1144" s="55" t="s">
        <v>914</v>
      </c>
      <c r="F1144" s="436">
        <f>ROUND(3,15)</f>
        <v>3</v>
      </c>
      <c r="G1144" s="437">
        <f t="shared" ref="G1144:G1147" si="193">I1144*(100%-$I$14)</f>
        <v>59.317286682150069</v>
      </c>
      <c r="H1144" s="438">
        <f>ROUND(F1144*G1144,15)</f>
        <v>177.95186004645001</v>
      </c>
      <c r="I1144" s="520">
        <v>71.19</v>
      </c>
    </row>
    <row r="1145" spans="1:9" ht="26.1" customHeight="1" thickBot="1">
      <c r="A1145" s="92">
        <v>93669</v>
      </c>
      <c r="B1145" s="93" t="s">
        <v>45</v>
      </c>
      <c r="C1145" s="58" t="s">
        <v>46</v>
      </c>
      <c r="D1145" s="58" t="s">
        <v>47</v>
      </c>
      <c r="E1145" s="59" t="s">
        <v>915</v>
      </c>
      <c r="F1145" s="437">
        <f>ROUND(1,15)</f>
        <v>1</v>
      </c>
      <c r="G1145" s="437">
        <f t="shared" si="193"/>
        <v>61.85862288640007</v>
      </c>
      <c r="H1145" s="439">
        <f>ROUND(F1145*G1145,15)</f>
        <v>61.858622886400099</v>
      </c>
      <c r="I1145" s="520">
        <v>74.239999999999995</v>
      </c>
    </row>
    <row r="1146" spans="1:9" ht="15" thickBot="1">
      <c r="A1146" s="94" t="s">
        <v>889</v>
      </c>
      <c r="B1146" s="95" t="s">
        <v>57</v>
      </c>
      <c r="C1146" s="74" t="s">
        <v>46</v>
      </c>
      <c r="D1146" s="74" t="s">
        <v>47</v>
      </c>
      <c r="E1146" s="78" t="s">
        <v>890</v>
      </c>
      <c r="F1146" s="440">
        <f>ROUND(3,15)</f>
        <v>3</v>
      </c>
      <c r="G1146" s="440">
        <f t="shared" si="193"/>
        <v>90.788194365600106</v>
      </c>
      <c r="H1146" s="441">
        <f>ROUND(F1146*G1146,15)</f>
        <v>272.3645830968</v>
      </c>
      <c r="I1146" s="520">
        <v>108.96</v>
      </c>
    </row>
    <row r="1147" spans="1:9" ht="26.1" customHeight="1" thickBot="1">
      <c r="A1147" s="96">
        <v>101880</v>
      </c>
      <c r="B1147" s="97" t="s">
        <v>45</v>
      </c>
      <c r="C1147" s="60" t="s">
        <v>46</v>
      </c>
      <c r="D1147" s="60" t="s">
        <v>47</v>
      </c>
      <c r="E1147" s="61" t="s">
        <v>1516</v>
      </c>
      <c r="F1147" s="442">
        <f>ROUND(1,15)</f>
        <v>1</v>
      </c>
      <c r="G1147" s="437">
        <f t="shared" si="193"/>
        <v>467.85582907750057</v>
      </c>
      <c r="H1147" s="443">
        <f>ROUND(F1147*G1147,15)</f>
        <v>467.85582907750103</v>
      </c>
      <c r="I1147" s="520">
        <v>561.5</v>
      </c>
    </row>
    <row r="1148" spans="1:9" ht="15.75" thickTop="1" thickBot="1">
      <c r="A1148" s="85"/>
      <c r="B1148" s="86"/>
      <c r="C1148" s="86"/>
      <c r="D1148" s="112"/>
      <c r="E1148" s="423" t="s">
        <v>912</v>
      </c>
      <c r="F1148" s="424"/>
      <c r="G1148" s="425">
        <f>H1144+H1145+H1146+H1147</f>
        <v>980.03089510715108</v>
      </c>
      <c r="H1148" s="426">
        <f>ROUND(G1148,15)</f>
        <v>980.03089510715097</v>
      </c>
      <c r="I1148" s="520"/>
    </row>
    <row r="1149" spans="1:9" ht="15" thickBot="1">
      <c r="A1149" s="114"/>
      <c r="B1149" s="115"/>
      <c r="C1149" s="115"/>
      <c r="D1149" s="116"/>
      <c r="E1149" s="398" t="s">
        <v>878</v>
      </c>
      <c r="F1149" s="399"/>
      <c r="G1149" s="400">
        <f>H1093+H1101+H1109+H1118+H1126+H1134+H1142+H1148</f>
        <v>10333.989553964002</v>
      </c>
      <c r="H1149" s="401">
        <f>ROUND(G1149,15)</f>
        <v>10333.989553964</v>
      </c>
      <c r="I1149" s="520"/>
    </row>
    <row r="1150" spans="1:9" ht="15.75" thickTop="1" thickBot="1">
      <c r="A1150" s="272" t="s">
        <v>916</v>
      </c>
      <c r="B1150" s="273"/>
      <c r="C1150" s="273" t="s">
        <v>38</v>
      </c>
      <c r="D1150" s="274"/>
      <c r="E1150" s="353" t="s">
        <v>917</v>
      </c>
      <c r="F1150" s="276"/>
      <c r="G1150" s="277">
        <f>G1159</f>
        <v>19981.957481352969</v>
      </c>
      <c r="H1150" s="278">
        <f>ROUND(G1150,15)</f>
        <v>19981.957481353002</v>
      </c>
      <c r="I1150" s="520"/>
    </row>
    <row r="1151" spans="1:9" ht="15.95" customHeight="1" thickTop="1" thickBot="1">
      <c r="A1151" s="100" t="s">
        <v>918</v>
      </c>
      <c r="B1151" s="101" t="s">
        <v>148</v>
      </c>
      <c r="C1151" s="64" t="s">
        <v>46</v>
      </c>
      <c r="D1151" s="64" t="s">
        <v>68</v>
      </c>
      <c r="E1151" s="65" t="s">
        <v>919</v>
      </c>
      <c r="F1151" s="446">
        <f>ROUND(1727,15)</f>
        <v>1727</v>
      </c>
      <c r="G1151" s="440">
        <f t="shared" ref="G1151:G1158" si="194">I1151*(100%-$I$14)</f>
        <v>9.2437979835900101</v>
      </c>
      <c r="H1151" s="447">
        <f t="shared" ref="H1151:H1158" si="195">ROUND(F1151*G1151,15)</f>
        <v>15964.039117659901</v>
      </c>
      <c r="I1151" s="520">
        <v>11.093999999999999</v>
      </c>
    </row>
    <row r="1152" spans="1:9" ht="15.95" customHeight="1" thickBot="1">
      <c r="A1152" s="94" t="s">
        <v>920</v>
      </c>
      <c r="B1152" s="95" t="s">
        <v>148</v>
      </c>
      <c r="C1152" s="74" t="s">
        <v>46</v>
      </c>
      <c r="D1152" s="74" t="s">
        <v>47</v>
      </c>
      <c r="E1152" s="78" t="s">
        <v>921</v>
      </c>
      <c r="F1152" s="440">
        <f>ROUND(576,15)</f>
        <v>576</v>
      </c>
      <c r="G1152" s="440">
        <f t="shared" si="194"/>
        <v>5.932561893200007</v>
      </c>
      <c r="H1152" s="441">
        <f t="shared" si="195"/>
        <v>3417.1556504832001</v>
      </c>
      <c r="I1152" s="520">
        <v>7.12</v>
      </c>
    </row>
    <row r="1153" spans="1:9" ht="15.95" customHeight="1" thickBot="1">
      <c r="A1153" s="94" t="s">
        <v>922</v>
      </c>
      <c r="B1153" s="95" t="s">
        <v>148</v>
      </c>
      <c r="C1153" s="74" t="s">
        <v>46</v>
      </c>
      <c r="D1153" s="74" t="s">
        <v>68</v>
      </c>
      <c r="E1153" s="78" t="s">
        <v>923</v>
      </c>
      <c r="F1153" s="440">
        <f>ROUND(11.5,15)</f>
        <v>11.5</v>
      </c>
      <c r="G1153" s="440">
        <f t="shared" si="194"/>
        <v>11.823462537150013</v>
      </c>
      <c r="H1153" s="441">
        <f t="shared" si="195"/>
        <v>135.96981917722499</v>
      </c>
      <c r="I1153" s="520">
        <v>14.19</v>
      </c>
    </row>
    <row r="1154" spans="1:9" ht="15.95" customHeight="1" thickBot="1">
      <c r="A1154" s="94" t="s">
        <v>924</v>
      </c>
      <c r="B1154" s="95" t="s">
        <v>148</v>
      </c>
      <c r="C1154" s="74" t="s">
        <v>46</v>
      </c>
      <c r="D1154" s="74" t="s">
        <v>47</v>
      </c>
      <c r="E1154" s="78" t="s">
        <v>925</v>
      </c>
      <c r="F1154" s="440">
        <f>ROUND(4,15)</f>
        <v>4</v>
      </c>
      <c r="G1154" s="440">
        <f t="shared" si="194"/>
        <v>7.8239826091500095</v>
      </c>
      <c r="H1154" s="441">
        <f t="shared" si="195"/>
        <v>31.295930436599999</v>
      </c>
      <c r="I1154" s="520">
        <v>9.39</v>
      </c>
    </row>
    <row r="1155" spans="1:9" ht="15.95" customHeight="1" thickBot="1">
      <c r="A1155" s="94">
        <v>93008</v>
      </c>
      <c r="B1155" s="95" t="s">
        <v>45</v>
      </c>
      <c r="C1155" s="74" t="s">
        <v>46</v>
      </c>
      <c r="D1155" s="74" t="s">
        <v>68</v>
      </c>
      <c r="E1155" s="78" t="s">
        <v>926</v>
      </c>
      <c r="F1155" s="440">
        <f>ROUND(7.6,15)</f>
        <v>7.6</v>
      </c>
      <c r="G1155" s="440">
        <f t="shared" si="194"/>
        <v>11.581827291500014</v>
      </c>
      <c r="H1155" s="441">
        <f t="shared" si="195"/>
        <v>88.021887415400101</v>
      </c>
      <c r="I1155" s="520">
        <v>13.9</v>
      </c>
    </row>
    <row r="1156" spans="1:9" ht="26.1" customHeight="1" thickBot="1">
      <c r="A1156" s="92">
        <v>93013</v>
      </c>
      <c r="B1156" s="93" t="s">
        <v>45</v>
      </c>
      <c r="C1156" s="58" t="s">
        <v>46</v>
      </c>
      <c r="D1156" s="58" t="s">
        <v>47</v>
      </c>
      <c r="E1156" s="59" t="s">
        <v>927</v>
      </c>
      <c r="F1156" s="437">
        <f>ROUND(3,15)</f>
        <v>3</v>
      </c>
      <c r="G1156" s="437">
        <f t="shared" si="194"/>
        <v>10.132015817600012</v>
      </c>
      <c r="H1156" s="439">
        <f t="shared" si="195"/>
        <v>30.396047452800001</v>
      </c>
      <c r="I1156" s="520">
        <v>12.16</v>
      </c>
    </row>
    <row r="1157" spans="1:9" ht="15" thickBot="1">
      <c r="A1157" s="94">
        <v>93011</v>
      </c>
      <c r="B1157" s="95" t="s">
        <v>45</v>
      </c>
      <c r="C1157" s="74" t="s">
        <v>46</v>
      </c>
      <c r="D1157" s="74" t="s">
        <v>68</v>
      </c>
      <c r="E1157" s="78" t="s">
        <v>928</v>
      </c>
      <c r="F1157" s="440">
        <f>ROUND(8.6,15)</f>
        <v>8.6</v>
      </c>
      <c r="G1157" s="440">
        <f t="shared" si="194"/>
        <v>28.946235978900035</v>
      </c>
      <c r="H1157" s="441">
        <f t="shared" si="195"/>
        <v>248.93762941854001</v>
      </c>
      <c r="I1157" s="520">
        <v>34.74</v>
      </c>
    </row>
    <row r="1158" spans="1:9" ht="26.1" customHeight="1" thickBot="1">
      <c r="A1158" s="96">
        <v>93016</v>
      </c>
      <c r="B1158" s="97" t="s">
        <v>45</v>
      </c>
      <c r="C1158" s="60" t="s">
        <v>46</v>
      </c>
      <c r="D1158" s="60" t="s">
        <v>47</v>
      </c>
      <c r="E1158" s="61" t="s">
        <v>929</v>
      </c>
      <c r="F1158" s="442">
        <f>ROUND(3,15)</f>
        <v>3</v>
      </c>
      <c r="G1158" s="437">
        <f t="shared" si="194"/>
        <v>22.047133103100027</v>
      </c>
      <c r="H1158" s="443">
        <f t="shared" si="195"/>
        <v>66.141399309300098</v>
      </c>
      <c r="I1158" s="520">
        <v>26.46</v>
      </c>
    </row>
    <row r="1159" spans="1:9" ht="15.75" thickTop="1" thickBot="1">
      <c r="A1159" s="51"/>
      <c r="B1159" s="52"/>
      <c r="C1159" s="52"/>
      <c r="D1159" s="136"/>
      <c r="E1159" s="524" t="s">
        <v>916</v>
      </c>
      <c r="F1159" s="387"/>
      <c r="G1159" s="388">
        <f>H1151+H1152+H1153+H1154+H1155+H1156+H1157+H1158</f>
        <v>19981.957481352969</v>
      </c>
      <c r="H1159" s="389">
        <f>ROUND(G1159,15)</f>
        <v>19981.957481353002</v>
      </c>
      <c r="I1159" s="520"/>
    </row>
    <row r="1160" spans="1:9" ht="15.75" thickTop="1" thickBot="1">
      <c r="A1160" s="272" t="s">
        <v>930</v>
      </c>
      <c r="B1160" s="273"/>
      <c r="C1160" s="273" t="s">
        <v>38</v>
      </c>
      <c r="D1160" s="274"/>
      <c r="E1160" s="353" t="s">
        <v>931</v>
      </c>
      <c r="F1160" s="276"/>
      <c r="G1160" s="277">
        <f>G1168</f>
        <v>41367.169157344222</v>
      </c>
      <c r="H1160" s="278">
        <f>ROUND(G1160,15)</f>
        <v>41367.1691573442</v>
      </c>
      <c r="I1160" s="520"/>
    </row>
    <row r="1161" spans="1:9" ht="26.1" customHeight="1" thickTop="1" thickBot="1">
      <c r="A1161" s="90">
        <v>91924</v>
      </c>
      <c r="B1161" s="91" t="s">
        <v>45</v>
      </c>
      <c r="C1161" s="54" t="s">
        <v>46</v>
      </c>
      <c r="D1161" s="54" t="s">
        <v>68</v>
      </c>
      <c r="E1161" s="55" t="s">
        <v>932</v>
      </c>
      <c r="F1161" s="436">
        <f>ROUND(2786.6,15)</f>
        <v>2786.6</v>
      </c>
      <c r="G1161" s="437">
        <f t="shared" ref="G1161:G1167" si="196">I1161*(100%-$I$14)</f>
        <v>2.3496944577000027</v>
      </c>
      <c r="H1161" s="438">
        <f t="shared" ref="H1161:H1167" si="197">ROUND(F1161*G1161,15)</f>
        <v>6547.6585758268302</v>
      </c>
      <c r="I1161" s="520">
        <v>2.82</v>
      </c>
    </row>
    <row r="1162" spans="1:9" ht="26.1" customHeight="1" thickBot="1">
      <c r="A1162" s="92">
        <v>91926</v>
      </c>
      <c r="B1162" s="93" t="s">
        <v>45</v>
      </c>
      <c r="C1162" s="58" t="s">
        <v>46</v>
      </c>
      <c r="D1162" s="58" t="s">
        <v>68</v>
      </c>
      <c r="E1162" s="59" t="s">
        <v>933</v>
      </c>
      <c r="F1162" s="437">
        <f>ROUND(6870.6,15)</f>
        <v>6870.6</v>
      </c>
      <c r="G1162" s="437">
        <f t="shared" si="196"/>
        <v>3.4495514379000038</v>
      </c>
      <c r="H1162" s="439">
        <f t="shared" si="197"/>
        <v>23700.488109235801</v>
      </c>
      <c r="I1162" s="520">
        <v>4.1399999999999997</v>
      </c>
    </row>
    <row r="1163" spans="1:9" ht="26.1" customHeight="1" thickBot="1">
      <c r="A1163" s="92">
        <v>91928</v>
      </c>
      <c r="B1163" s="93" t="s">
        <v>45</v>
      </c>
      <c r="C1163" s="58" t="s">
        <v>46</v>
      </c>
      <c r="D1163" s="58" t="s">
        <v>68</v>
      </c>
      <c r="E1163" s="59" t="s">
        <v>934</v>
      </c>
      <c r="F1163" s="437">
        <f>ROUND(1037.2,15)</f>
        <v>1037.2</v>
      </c>
      <c r="G1163" s="437">
        <f t="shared" si="196"/>
        <v>5.6909266475500067</v>
      </c>
      <c r="H1163" s="439">
        <f t="shared" si="197"/>
        <v>5902.6291188388705</v>
      </c>
      <c r="I1163" s="520">
        <v>6.83</v>
      </c>
    </row>
    <row r="1164" spans="1:9" ht="26.1" customHeight="1" thickBot="1">
      <c r="A1164" s="92">
        <v>91930</v>
      </c>
      <c r="B1164" s="93" t="s">
        <v>45</v>
      </c>
      <c r="C1164" s="58" t="s">
        <v>46</v>
      </c>
      <c r="D1164" s="58" t="s">
        <v>68</v>
      </c>
      <c r="E1164" s="59" t="s">
        <v>935</v>
      </c>
      <c r="F1164" s="437">
        <f>ROUND(23,15)</f>
        <v>23</v>
      </c>
      <c r="G1164" s="437">
        <f t="shared" si="196"/>
        <v>7.8323148590000091</v>
      </c>
      <c r="H1164" s="439">
        <f t="shared" si="197"/>
        <v>180.143241757</v>
      </c>
      <c r="I1164" s="520">
        <v>9.4</v>
      </c>
    </row>
    <row r="1165" spans="1:9" ht="26.1" customHeight="1" thickBot="1">
      <c r="A1165" s="92">
        <v>91933</v>
      </c>
      <c r="B1165" s="93" t="s">
        <v>45</v>
      </c>
      <c r="C1165" s="58" t="s">
        <v>46</v>
      </c>
      <c r="D1165" s="58" t="s">
        <v>68</v>
      </c>
      <c r="E1165" s="59" t="s">
        <v>936</v>
      </c>
      <c r="F1165" s="437">
        <f>ROUND(90.5,15)</f>
        <v>90.5</v>
      </c>
      <c r="G1165" s="437">
        <f t="shared" si="196"/>
        <v>13.873196000250015</v>
      </c>
      <c r="H1165" s="439">
        <f t="shared" si="197"/>
        <v>1255.52423802263</v>
      </c>
      <c r="I1165" s="520">
        <v>16.649999999999999</v>
      </c>
    </row>
    <row r="1166" spans="1:9" ht="26.1" customHeight="1" thickBot="1">
      <c r="A1166" s="96">
        <v>91935</v>
      </c>
      <c r="B1166" s="97" t="s">
        <v>45</v>
      </c>
      <c r="C1166" s="60" t="s">
        <v>46</v>
      </c>
      <c r="D1166" s="60" t="s">
        <v>68</v>
      </c>
      <c r="E1166" s="61" t="s">
        <v>937</v>
      </c>
      <c r="F1166" s="442">
        <f>ROUND(102.5,15)</f>
        <v>102.5</v>
      </c>
      <c r="G1166" s="442">
        <f t="shared" si="196"/>
        <v>21.172246868850024</v>
      </c>
      <c r="H1166" s="443">
        <f t="shared" si="197"/>
        <v>2170.1553040571298</v>
      </c>
      <c r="I1166" s="520">
        <v>25.41</v>
      </c>
    </row>
    <row r="1167" spans="1:9" ht="26.1" customHeight="1" thickTop="1" thickBot="1">
      <c r="A1167" s="98">
        <v>92988</v>
      </c>
      <c r="B1167" s="99" t="s">
        <v>45</v>
      </c>
      <c r="C1167" s="70" t="s">
        <v>46</v>
      </c>
      <c r="D1167" s="70" t="s">
        <v>68</v>
      </c>
      <c r="E1167" s="71" t="s">
        <v>938</v>
      </c>
      <c r="F1167" s="444">
        <f>ROUND(34.4,15)</f>
        <v>34.4</v>
      </c>
      <c r="G1167" s="444">
        <f t="shared" si="196"/>
        <v>46.818911907150053</v>
      </c>
      <c r="H1167" s="445">
        <f t="shared" si="197"/>
        <v>1610.5705696059599</v>
      </c>
      <c r="I1167" s="520">
        <v>56.19</v>
      </c>
    </row>
    <row r="1168" spans="1:9" ht="15.75" thickTop="1" thickBot="1">
      <c r="A1168" s="51"/>
      <c r="B1168" s="52"/>
      <c r="C1168" s="52"/>
      <c r="D1168" s="136"/>
      <c r="E1168" s="524" t="s">
        <v>930</v>
      </c>
      <c r="F1168" s="387"/>
      <c r="G1168" s="388">
        <f>H1161+H1162+H1163+H1164+H1165+H1166+H1167</f>
        <v>41367.169157344222</v>
      </c>
      <c r="H1168" s="389">
        <f>ROUND(G1168,15)</f>
        <v>41367.1691573442</v>
      </c>
      <c r="I1168" s="520"/>
    </row>
    <row r="1169" spans="1:9" ht="15.75" thickTop="1" thickBot="1">
      <c r="A1169" s="272" t="s">
        <v>939</v>
      </c>
      <c r="B1169" s="273"/>
      <c r="C1169" s="273" t="s">
        <v>38</v>
      </c>
      <c r="D1169" s="274"/>
      <c r="E1169" s="353" t="s">
        <v>940</v>
      </c>
      <c r="F1169" s="276"/>
      <c r="G1169" s="277">
        <f>G1179</f>
        <v>30550.335723272456</v>
      </c>
      <c r="H1169" s="278">
        <f>ROUND(G1169,15)</f>
        <v>30550.335723272499</v>
      </c>
      <c r="I1169" s="520"/>
    </row>
    <row r="1170" spans="1:9" ht="36" customHeight="1" thickTop="1" thickBot="1">
      <c r="A1170" s="90" t="s">
        <v>941</v>
      </c>
      <c r="B1170" s="91" t="s">
        <v>148</v>
      </c>
      <c r="C1170" s="54" t="s">
        <v>46</v>
      </c>
      <c r="D1170" s="54" t="s">
        <v>47</v>
      </c>
      <c r="E1170" s="55" t="s">
        <v>942</v>
      </c>
      <c r="F1170" s="436">
        <f>ROUND(32,15)</f>
        <v>32</v>
      </c>
      <c r="G1170" s="437">
        <f t="shared" ref="G1170:G1178" si="198">I1170*(100%-$I$14)</f>
        <v>89.605014886900108</v>
      </c>
      <c r="H1170" s="438">
        <f t="shared" ref="H1170:H1178" si="199">ROUND(F1170*G1170,15)</f>
        <v>2867.3604763807998</v>
      </c>
      <c r="I1170" s="520">
        <v>107.54</v>
      </c>
    </row>
    <row r="1171" spans="1:9" ht="36" customHeight="1" thickBot="1">
      <c r="A1171" s="92" t="s">
        <v>943</v>
      </c>
      <c r="B1171" s="93" t="s">
        <v>148</v>
      </c>
      <c r="C1171" s="58" t="s">
        <v>46</v>
      </c>
      <c r="D1171" s="58" t="s">
        <v>47</v>
      </c>
      <c r="E1171" s="59" t="s">
        <v>944</v>
      </c>
      <c r="F1171" s="437">
        <f>ROUND(23,15)</f>
        <v>23</v>
      </c>
      <c r="G1171" s="437">
        <f t="shared" si="198"/>
        <v>120.73430032650015</v>
      </c>
      <c r="H1171" s="439">
        <f t="shared" si="199"/>
        <v>2776.8889075094999</v>
      </c>
      <c r="I1171" s="520">
        <v>144.9</v>
      </c>
    </row>
    <row r="1172" spans="1:9" ht="36" customHeight="1" thickBot="1">
      <c r="A1172" s="92" t="s">
        <v>945</v>
      </c>
      <c r="B1172" s="93" t="s">
        <v>148</v>
      </c>
      <c r="C1172" s="58" t="s">
        <v>46</v>
      </c>
      <c r="D1172" s="58" t="s">
        <v>47</v>
      </c>
      <c r="E1172" s="59" t="s">
        <v>946</v>
      </c>
      <c r="F1172" s="437">
        <f>ROUND(57,15)</f>
        <v>57</v>
      </c>
      <c r="G1172" s="437">
        <f t="shared" si="198"/>
        <v>189.44203258960025</v>
      </c>
      <c r="H1172" s="439">
        <f t="shared" si="199"/>
        <v>10798.195857607199</v>
      </c>
      <c r="I1172" s="520">
        <v>227.36</v>
      </c>
    </row>
    <row r="1173" spans="1:9" ht="36" customHeight="1" thickBot="1">
      <c r="A1173" s="92" t="s">
        <v>947</v>
      </c>
      <c r="B1173" s="93" t="s">
        <v>148</v>
      </c>
      <c r="C1173" s="58" t="s">
        <v>46</v>
      </c>
      <c r="D1173" s="58" t="s">
        <v>47</v>
      </c>
      <c r="E1173" s="59" t="s">
        <v>948</v>
      </c>
      <c r="F1173" s="437">
        <f>ROUND(44,15)</f>
        <v>44</v>
      </c>
      <c r="G1173" s="437">
        <f t="shared" si="198"/>
        <v>189.44203258960025</v>
      </c>
      <c r="H1173" s="439">
        <f t="shared" si="199"/>
        <v>8335.4494339424109</v>
      </c>
      <c r="I1173" s="520">
        <v>227.36</v>
      </c>
    </row>
    <row r="1174" spans="1:9" ht="36" customHeight="1" thickBot="1">
      <c r="A1174" s="92" t="s">
        <v>949</v>
      </c>
      <c r="B1174" s="93" t="s">
        <v>148</v>
      </c>
      <c r="C1174" s="58" t="s">
        <v>46</v>
      </c>
      <c r="D1174" s="58" t="s">
        <v>47</v>
      </c>
      <c r="E1174" s="59" t="s">
        <v>950</v>
      </c>
      <c r="F1174" s="437">
        <f>ROUND(20,15)</f>
        <v>20</v>
      </c>
      <c r="G1174" s="437">
        <f t="shared" si="198"/>
        <v>191.95837204430023</v>
      </c>
      <c r="H1174" s="439">
        <f t="shared" si="199"/>
        <v>3839.1674408859999</v>
      </c>
      <c r="I1174" s="520">
        <v>230.38</v>
      </c>
    </row>
    <row r="1175" spans="1:9" ht="26.1" customHeight="1" thickBot="1">
      <c r="A1175" s="92">
        <v>97608</v>
      </c>
      <c r="B1175" s="93" t="s">
        <v>45</v>
      </c>
      <c r="C1175" s="58" t="s">
        <v>46</v>
      </c>
      <c r="D1175" s="58" t="s">
        <v>47</v>
      </c>
      <c r="E1175" s="59" t="s">
        <v>951</v>
      </c>
      <c r="F1175" s="437">
        <f>ROUND(3,15)</f>
        <v>3</v>
      </c>
      <c r="G1175" s="437">
        <f t="shared" si="198"/>
        <v>62.650186622150073</v>
      </c>
      <c r="H1175" s="439">
        <f t="shared" si="199"/>
        <v>187.95055986644999</v>
      </c>
      <c r="I1175" s="520">
        <v>75.19</v>
      </c>
    </row>
    <row r="1176" spans="1:9" ht="36" customHeight="1" thickBot="1">
      <c r="A1176" s="92" t="s">
        <v>952</v>
      </c>
      <c r="B1176" s="93" t="s">
        <v>148</v>
      </c>
      <c r="C1176" s="58" t="s">
        <v>46</v>
      </c>
      <c r="D1176" s="58" t="s">
        <v>47</v>
      </c>
      <c r="E1176" s="59" t="s">
        <v>953</v>
      </c>
      <c r="F1176" s="437">
        <f>ROUND(6,15)</f>
        <v>6</v>
      </c>
      <c r="G1176" s="437">
        <f t="shared" si="198"/>
        <v>170.6028156787502</v>
      </c>
      <c r="H1176" s="439">
        <f t="shared" si="199"/>
        <v>1023.6168940725</v>
      </c>
      <c r="I1176" s="520">
        <v>204.75</v>
      </c>
    </row>
    <row r="1177" spans="1:9" ht="26.1" customHeight="1" thickBot="1">
      <c r="A1177" s="92" t="s">
        <v>954</v>
      </c>
      <c r="B1177" s="93" t="s">
        <v>148</v>
      </c>
      <c r="C1177" s="58" t="s">
        <v>46</v>
      </c>
      <c r="D1177" s="58" t="s">
        <v>47</v>
      </c>
      <c r="E1177" s="59" t="s">
        <v>955</v>
      </c>
      <c r="F1177" s="437">
        <f>ROUND(8,15)</f>
        <v>8</v>
      </c>
      <c r="G1177" s="437">
        <f t="shared" si="198"/>
        <v>41.836226496850053</v>
      </c>
      <c r="H1177" s="439">
        <f t="shared" si="199"/>
        <v>334.68981197480002</v>
      </c>
      <c r="I1177" s="520">
        <v>50.21</v>
      </c>
    </row>
    <row r="1178" spans="1:9" ht="36" customHeight="1" thickBot="1">
      <c r="A1178" s="96" t="s">
        <v>956</v>
      </c>
      <c r="B1178" s="97" t="s">
        <v>148</v>
      </c>
      <c r="C1178" s="60" t="s">
        <v>46</v>
      </c>
      <c r="D1178" s="60" t="s">
        <v>47</v>
      </c>
      <c r="E1178" s="61" t="s">
        <v>1469</v>
      </c>
      <c r="F1178" s="442">
        <f>ROUND(8,15)</f>
        <v>8</v>
      </c>
      <c r="G1178" s="437">
        <f t="shared" si="198"/>
        <v>48.37704262910006</v>
      </c>
      <c r="H1178" s="443">
        <f t="shared" si="199"/>
        <v>387.01634103280003</v>
      </c>
      <c r="I1178" s="520">
        <v>58.06</v>
      </c>
    </row>
    <row r="1179" spans="1:9" ht="15.75" thickTop="1" thickBot="1">
      <c r="A1179" s="51"/>
      <c r="B1179" s="52"/>
      <c r="C1179" s="52"/>
      <c r="D1179" s="136"/>
      <c r="E1179" s="524" t="s">
        <v>939</v>
      </c>
      <c r="F1179" s="387"/>
      <c r="G1179" s="388">
        <f>H1170+H1171+H1172+H1173+H1174+H1175+H1176+H1177+H1178</f>
        <v>30550.335723272456</v>
      </c>
      <c r="H1179" s="389">
        <f>ROUND(G1179,15)</f>
        <v>30550.335723272499</v>
      </c>
      <c r="I1179" s="520"/>
    </row>
    <row r="1180" spans="1:9" ht="15.75" thickTop="1" thickBot="1">
      <c r="A1180" s="272" t="s">
        <v>957</v>
      </c>
      <c r="B1180" s="273"/>
      <c r="C1180" s="273" t="s">
        <v>38</v>
      </c>
      <c r="D1180" s="274"/>
      <c r="E1180" s="353" t="s">
        <v>958</v>
      </c>
      <c r="F1180" s="276"/>
      <c r="G1180" s="277">
        <f>G1195</f>
        <v>8395.6749358582019</v>
      </c>
      <c r="H1180" s="278">
        <f>ROUND(G1180,15)</f>
        <v>8395.6749358582001</v>
      </c>
      <c r="I1180" s="520"/>
    </row>
    <row r="1181" spans="1:9" ht="26.1" customHeight="1" thickTop="1" thickBot="1">
      <c r="A1181" s="90">
        <v>91953</v>
      </c>
      <c r="B1181" s="91" t="s">
        <v>45</v>
      </c>
      <c r="C1181" s="54" t="s">
        <v>46</v>
      </c>
      <c r="D1181" s="54" t="s">
        <v>47</v>
      </c>
      <c r="E1181" s="55" t="s">
        <v>959</v>
      </c>
      <c r="F1181" s="436">
        <f>ROUND(23,15)</f>
        <v>23</v>
      </c>
      <c r="G1181" s="437">
        <f t="shared" ref="G1181:G1194" si="200">I1181*(100%-$I$14)</f>
        <v>19.322487402150024</v>
      </c>
      <c r="H1181" s="438">
        <f t="shared" ref="H1181:H1194" si="201">ROUND(F1181*G1181,15)</f>
        <v>444.41721024945099</v>
      </c>
      <c r="I1181" s="520">
        <v>23.19</v>
      </c>
    </row>
    <row r="1182" spans="1:9" ht="26.1" customHeight="1" thickBot="1">
      <c r="A1182" s="92">
        <v>91959</v>
      </c>
      <c r="B1182" s="93" t="s">
        <v>45</v>
      </c>
      <c r="C1182" s="58" t="s">
        <v>46</v>
      </c>
      <c r="D1182" s="58" t="s">
        <v>47</v>
      </c>
      <c r="E1182" s="59" t="s">
        <v>960</v>
      </c>
      <c r="F1182" s="437">
        <f>ROUND(10,15)</f>
        <v>10</v>
      </c>
      <c r="G1182" s="437">
        <f t="shared" si="200"/>
        <v>30.587689199350038</v>
      </c>
      <c r="H1182" s="439">
        <f t="shared" si="201"/>
        <v>305.87689199350001</v>
      </c>
      <c r="I1182" s="520">
        <v>36.71</v>
      </c>
    </row>
    <row r="1183" spans="1:9" ht="26.1" customHeight="1" thickBot="1">
      <c r="A1183" s="92">
        <v>91967</v>
      </c>
      <c r="B1183" s="93" t="s">
        <v>45</v>
      </c>
      <c r="C1183" s="58" t="s">
        <v>46</v>
      </c>
      <c r="D1183" s="58" t="s">
        <v>47</v>
      </c>
      <c r="E1183" s="59" t="s">
        <v>961</v>
      </c>
      <c r="F1183" s="437">
        <f>ROUND(5,15)</f>
        <v>5</v>
      </c>
      <c r="G1183" s="437">
        <f t="shared" si="200"/>
        <v>41.852890996550045</v>
      </c>
      <c r="H1183" s="439">
        <f t="shared" si="201"/>
        <v>209.26445498275001</v>
      </c>
      <c r="I1183" s="520">
        <v>50.23</v>
      </c>
    </row>
    <row r="1184" spans="1:9" ht="26.1" customHeight="1" thickBot="1">
      <c r="A1184" s="92">
        <v>91975</v>
      </c>
      <c r="B1184" s="93" t="s">
        <v>45</v>
      </c>
      <c r="C1184" s="58" t="s">
        <v>46</v>
      </c>
      <c r="D1184" s="58" t="s">
        <v>47</v>
      </c>
      <c r="E1184" s="59" t="s">
        <v>962</v>
      </c>
      <c r="F1184" s="437">
        <f>ROUND(4,15)</f>
        <v>4</v>
      </c>
      <c r="G1184" s="437">
        <f t="shared" si="200"/>
        <v>56.959259974600066</v>
      </c>
      <c r="H1184" s="439">
        <f t="shared" si="201"/>
        <v>227.83703989840001</v>
      </c>
      <c r="I1184" s="520">
        <v>68.36</v>
      </c>
    </row>
    <row r="1185" spans="1:9" ht="26.1" customHeight="1" thickBot="1">
      <c r="A1185" s="92">
        <v>91955</v>
      </c>
      <c r="B1185" s="93" t="s">
        <v>45</v>
      </c>
      <c r="C1185" s="58" t="s">
        <v>46</v>
      </c>
      <c r="D1185" s="58" t="s">
        <v>47</v>
      </c>
      <c r="E1185" s="59" t="s">
        <v>1470</v>
      </c>
      <c r="F1185" s="437">
        <f>ROUND(5,15)</f>
        <v>5</v>
      </c>
      <c r="G1185" s="437">
        <f t="shared" si="200"/>
        <v>23.880228070100028</v>
      </c>
      <c r="H1185" s="439">
        <f t="shared" si="201"/>
        <v>119.4011403505</v>
      </c>
      <c r="I1185" s="520">
        <v>28.66</v>
      </c>
    </row>
    <row r="1186" spans="1:9" ht="26.1" customHeight="1" thickBot="1">
      <c r="A1186" s="92">
        <v>91961</v>
      </c>
      <c r="B1186" s="93" t="s">
        <v>45</v>
      </c>
      <c r="C1186" s="58" t="s">
        <v>46</v>
      </c>
      <c r="D1186" s="58" t="s">
        <v>47</v>
      </c>
      <c r="E1186" s="59" t="s">
        <v>1471</v>
      </c>
      <c r="F1186" s="437">
        <f>ROUND(1,15)</f>
        <v>1</v>
      </c>
      <c r="G1186" s="437">
        <f t="shared" si="200"/>
        <v>39.669841535850047</v>
      </c>
      <c r="H1186" s="439">
        <f t="shared" si="201"/>
        <v>39.669841535849997</v>
      </c>
      <c r="I1186" s="520">
        <v>47.61</v>
      </c>
    </row>
    <row r="1187" spans="1:9" ht="26.1" customHeight="1" thickBot="1">
      <c r="A1187" s="92">
        <v>91969</v>
      </c>
      <c r="B1187" s="93" t="s">
        <v>45</v>
      </c>
      <c r="C1187" s="58" t="s">
        <v>46</v>
      </c>
      <c r="D1187" s="58" t="s">
        <v>47</v>
      </c>
      <c r="E1187" s="59" t="s">
        <v>1472</v>
      </c>
      <c r="F1187" s="437">
        <f>ROUND(2,15)</f>
        <v>2</v>
      </c>
      <c r="G1187" s="437">
        <f t="shared" si="200"/>
        <v>55.467787251450062</v>
      </c>
      <c r="H1187" s="439">
        <f t="shared" si="201"/>
        <v>110.9355745029</v>
      </c>
      <c r="I1187" s="520">
        <v>66.569999999999993</v>
      </c>
    </row>
    <row r="1188" spans="1:9" ht="26.1" customHeight="1" thickBot="1">
      <c r="A1188" s="92">
        <v>91979</v>
      </c>
      <c r="B1188" s="93" t="s">
        <v>45</v>
      </c>
      <c r="C1188" s="58" t="s">
        <v>46</v>
      </c>
      <c r="D1188" s="58" t="s">
        <v>47</v>
      </c>
      <c r="E1188" s="59" t="s">
        <v>1461</v>
      </c>
      <c r="F1188" s="437">
        <f>ROUND(2,15)</f>
        <v>2</v>
      </c>
      <c r="G1188" s="437">
        <f t="shared" si="200"/>
        <v>34.82880437300004</v>
      </c>
      <c r="H1188" s="439">
        <f t="shared" si="201"/>
        <v>69.657608746000093</v>
      </c>
      <c r="I1188" s="520">
        <v>41.8</v>
      </c>
    </row>
    <row r="1189" spans="1:9" ht="26.1" customHeight="1" thickBot="1">
      <c r="A1189" s="92">
        <v>92000</v>
      </c>
      <c r="B1189" s="93" t="s">
        <v>45</v>
      </c>
      <c r="C1189" s="58" t="s">
        <v>46</v>
      </c>
      <c r="D1189" s="58" t="s">
        <v>47</v>
      </c>
      <c r="E1189" s="59" t="s">
        <v>1462</v>
      </c>
      <c r="F1189" s="437">
        <f>ROUND(134,15)</f>
        <v>134</v>
      </c>
      <c r="G1189" s="437">
        <f t="shared" si="200"/>
        <v>20.422344382350026</v>
      </c>
      <c r="H1189" s="439">
        <f t="shared" si="201"/>
        <v>2736.5941472349</v>
      </c>
      <c r="I1189" s="520">
        <v>24.51</v>
      </c>
    </row>
    <row r="1190" spans="1:9" ht="26.1" customHeight="1" thickBot="1">
      <c r="A1190" s="92">
        <v>91996</v>
      </c>
      <c r="B1190" s="93" t="s">
        <v>45</v>
      </c>
      <c r="C1190" s="58" t="s">
        <v>46</v>
      </c>
      <c r="D1190" s="58" t="s">
        <v>47</v>
      </c>
      <c r="E1190" s="59" t="s">
        <v>1463</v>
      </c>
      <c r="F1190" s="437">
        <f>ROUND(24,15)</f>
        <v>24</v>
      </c>
      <c r="G1190" s="437">
        <f t="shared" si="200"/>
        <v>22.963680586600027</v>
      </c>
      <c r="H1190" s="439">
        <f t="shared" si="201"/>
        <v>551.12833407840105</v>
      </c>
      <c r="I1190" s="520">
        <v>27.56</v>
      </c>
    </row>
    <row r="1191" spans="1:9" ht="26.1" customHeight="1" thickBot="1">
      <c r="A1191" s="92">
        <v>91992</v>
      </c>
      <c r="B1191" s="93" t="s">
        <v>45</v>
      </c>
      <c r="C1191" s="58" t="s">
        <v>46</v>
      </c>
      <c r="D1191" s="58" t="s">
        <v>47</v>
      </c>
      <c r="E1191" s="59" t="s">
        <v>1464</v>
      </c>
      <c r="F1191" s="437">
        <f>ROUND(24,15)</f>
        <v>24</v>
      </c>
      <c r="G1191" s="437">
        <f t="shared" si="200"/>
        <v>29.496164469000032</v>
      </c>
      <c r="H1191" s="439">
        <f t="shared" si="201"/>
        <v>707.90794725600097</v>
      </c>
      <c r="I1191" s="520">
        <v>35.4</v>
      </c>
    </row>
    <row r="1192" spans="1:9" ht="26.1" customHeight="1" thickBot="1">
      <c r="A1192" s="92">
        <v>91997</v>
      </c>
      <c r="B1192" s="93" t="s">
        <v>45</v>
      </c>
      <c r="C1192" s="58" t="s">
        <v>46</v>
      </c>
      <c r="D1192" s="58" t="s">
        <v>47</v>
      </c>
      <c r="E1192" s="59" t="s">
        <v>1465</v>
      </c>
      <c r="F1192" s="437">
        <f>ROUND(41,15)</f>
        <v>41</v>
      </c>
      <c r="G1192" s="437">
        <f t="shared" si="200"/>
        <v>24.730117554800028</v>
      </c>
      <c r="H1192" s="439">
        <f t="shared" si="201"/>
        <v>1013.9348197468</v>
      </c>
      <c r="I1192" s="520">
        <v>29.68</v>
      </c>
    </row>
    <row r="1193" spans="1:9" ht="26.1" customHeight="1" thickBot="1">
      <c r="A1193" s="92">
        <v>91940</v>
      </c>
      <c r="B1193" s="93" t="s">
        <v>45</v>
      </c>
      <c r="C1193" s="58" t="s">
        <v>46</v>
      </c>
      <c r="D1193" s="58" t="s">
        <v>47</v>
      </c>
      <c r="E1193" s="59" t="s">
        <v>1466</v>
      </c>
      <c r="F1193" s="437">
        <f>ROUND(134,15)</f>
        <v>134</v>
      </c>
      <c r="G1193" s="437">
        <f t="shared" si="200"/>
        <v>10.498634811000011</v>
      </c>
      <c r="H1193" s="439">
        <f t="shared" si="201"/>
        <v>1406.817064674</v>
      </c>
      <c r="I1193" s="520">
        <v>12.6</v>
      </c>
    </row>
    <row r="1194" spans="1:9" ht="26.1" customHeight="1" thickBot="1">
      <c r="A1194" s="96">
        <v>91941</v>
      </c>
      <c r="B1194" s="97" t="s">
        <v>45</v>
      </c>
      <c r="C1194" s="60" t="s">
        <v>46</v>
      </c>
      <c r="D1194" s="60" t="s">
        <v>47</v>
      </c>
      <c r="E1194" s="61" t="s">
        <v>1467</v>
      </c>
      <c r="F1194" s="442">
        <f>ROUND(65,15)</f>
        <v>65</v>
      </c>
      <c r="G1194" s="437">
        <f t="shared" si="200"/>
        <v>6.9574286247500075</v>
      </c>
      <c r="H1194" s="443">
        <f t="shared" si="201"/>
        <v>452.23286060875</v>
      </c>
      <c r="I1194" s="520">
        <v>8.35</v>
      </c>
    </row>
    <row r="1195" spans="1:9" ht="15.75" thickTop="1" thickBot="1">
      <c r="A1195" s="51"/>
      <c r="B1195" s="52"/>
      <c r="C1195" s="52"/>
      <c r="D1195" s="136"/>
      <c r="E1195" s="524" t="s">
        <v>957</v>
      </c>
      <c r="F1195" s="387"/>
      <c r="G1195" s="388">
        <f>H1181+H1182+H1183+H1184+H1185+H1186+H1187+H1188+H1189+H1190+H1191+H1192+H1193+H1194</f>
        <v>8395.6749358582019</v>
      </c>
      <c r="H1195" s="389">
        <f>ROUND(G1195,15)</f>
        <v>8395.6749358582001</v>
      </c>
      <c r="I1195" s="520"/>
    </row>
    <row r="1196" spans="1:9" ht="15.75" thickTop="1" thickBot="1">
      <c r="A1196" s="272" t="s">
        <v>972</v>
      </c>
      <c r="B1196" s="273"/>
      <c r="C1196" s="273" t="s">
        <v>38</v>
      </c>
      <c r="D1196" s="274"/>
      <c r="E1196" s="353" t="s">
        <v>973</v>
      </c>
      <c r="F1196" s="276"/>
      <c r="G1196" s="277">
        <f>G1198</f>
        <v>3234.9460107634</v>
      </c>
      <c r="H1196" s="278">
        <f>ROUND(G1196,15)</f>
        <v>3234.9460107634</v>
      </c>
      <c r="I1196" s="520"/>
    </row>
    <row r="1197" spans="1:9" ht="26.1" customHeight="1" thickTop="1" thickBot="1">
      <c r="A1197" s="68" t="s">
        <v>974</v>
      </c>
      <c r="B1197" s="69" t="s">
        <v>57</v>
      </c>
      <c r="C1197" s="70" t="s">
        <v>46</v>
      </c>
      <c r="D1197" s="70" t="s">
        <v>68</v>
      </c>
      <c r="E1197" s="71" t="s">
        <v>1468</v>
      </c>
      <c r="F1197" s="444">
        <f>ROUND(80.8,15)</f>
        <v>80.8</v>
      </c>
      <c r="G1197" s="437">
        <f t="shared" ref="G1197" si="202">I1197*(100%-$I$14)</f>
        <v>40.036460529250043</v>
      </c>
      <c r="H1197" s="445">
        <f>ROUND(F1197*G1197,15)</f>
        <v>3234.9460107634</v>
      </c>
      <c r="I1197" s="520">
        <v>48.05</v>
      </c>
    </row>
    <row r="1198" spans="1:9" ht="15.75" thickTop="1" thickBot="1">
      <c r="A1198" s="51"/>
      <c r="B1198" s="52"/>
      <c r="C1198" s="52"/>
      <c r="D1198" s="136"/>
      <c r="E1198" s="524" t="s">
        <v>972</v>
      </c>
      <c r="F1198" s="387"/>
      <c r="G1198" s="388">
        <f>H1197</f>
        <v>3234.9460107634</v>
      </c>
      <c r="H1198" s="389">
        <f>ROUND(G1198,15)</f>
        <v>3234.9460107634</v>
      </c>
      <c r="I1198" s="520"/>
    </row>
    <row r="1199" spans="1:9" ht="15.75" thickTop="1" thickBot="1">
      <c r="A1199" s="272" t="s">
        <v>976</v>
      </c>
      <c r="B1199" s="273"/>
      <c r="C1199" s="273" t="s">
        <v>38</v>
      </c>
      <c r="D1199" s="274"/>
      <c r="E1199" s="353" t="s">
        <v>977</v>
      </c>
      <c r="F1199" s="276"/>
      <c r="G1199" s="277">
        <f>G1205</f>
        <v>10506.662183828001</v>
      </c>
      <c r="H1199" s="278">
        <f>ROUND(G1199,15)</f>
        <v>10506.662183828001</v>
      </c>
      <c r="I1199" s="520"/>
    </row>
    <row r="1200" spans="1:9" ht="15.75" thickTop="1" thickBot="1">
      <c r="A1200" s="100" t="s">
        <v>978</v>
      </c>
      <c r="B1200" s="101" t="s">
        <v>410</v>
      </c>
      <c r="C1200" s="64" t="s">
        <v>46</v>
      </c>
      <c r="D1200" s="64" t="s">
        <v>47</v>
      </c>
      <c r="E1200" s="65" t="s">
        <v>979</v>
      </c>
      <c r="F1200" s="446">
        <f>ROUND(347.3,15)</f>
        <v>347.3</v>
      </c>
      <c r="G1200" s="440">
        <f t="shared" ref="G1200:G1204" si="203">I1200*(100%-$I$14)</f>
        <v>18.514259166700022</v>
      </c>
      <c r="H1200" s="447">
        <f>ROUND(F1200*G1200,15)</f>
        <v>6430.0022085949204</v>
      </c>
      <c r="I1200" s="520">
        <v>22.22</v>
      </c>
    </row>
    <row r="1201" spans="1:9" ht="15" thickBot="1">
      <c r="A1201" s="94" t="s">
        <v>980</v>
      </c>
      <c r="B1201" s="95" t="s">
        <v>410</v>
      </c>
      <c r="C1201" s="74" t="s">
        <v>46</v>
      </c>
      <c r="D1201" s="74" t="s">
        <v>47</v>
      </c>
      <c r="E1201" s="78" t="s">
        <v>981</v>
      </c>
      <c r="F1201" s="440">
        <f>ROUND(187.31,15)</f>
        <v>187.31</v>
      </c>
      <c r="G1201" s="440">
        <f t="shared" si="203"/>
        <v>19.589119397350025</v>
      </c>
      <c r="H1201" s="441">
        <f>ROUND(F1201*G1201,15)</f>
        <v>3669.2379543176298</v>
      </c>
      <c r="I1201" s="520">
        <v>23.51</v>
      </c>
    </row>
    <row r="1202" spans="1:9" ht="26.1" customHeight="1" thickBot="1">
      <c r="A1202" s="92">
        <v>98111</v>
      </c>
      <c r="B1202" s="93" t="s">
        <v>45</v>
      </c>
      <c r="C1202" s="58" t="s">
        <v>46</v>
      </c>
      <c r="D1202" s="58" t="s">
        <v>47</v>
      </c>
      <c r="E1202" s="59" t="s">
        <v>982</v>
      </c>
      <c r="F1202" s="437">
        <f>ROUND(1,15)</f>
        <v>1</v>
      </c>
      <c r="G1202" s="437">
        <f t="shared" si="203"/>
        <v>22.388755346950028</v>
      </c>
      <c r="H1202" s="439">
        <f>ROUND(F1202*G1202,15)</f>
        <v>22.388755346949999</v>
      </c>
      <c r="I1202" s="520">
        <v>26.87</v>
      </c>
    </row>
    <row r="1203" spans="1:9" ht="26.1" customHeight="1" thickBot="1">
      <c r="A1203" s="92" t="s">
        <v>983</v>
      </c>
      <c r="B1203" s="93" t="s">
        <v>57</v>
      </c>
      <c r="C1203" s="58" t="s">
        <v>46</v>
      </c>
      <c r="D1203" s="58" t="s">
        <v>47</v>
      </c>
      <c r="E1203" s="59" t="s">
        <v>984</v>
      </c>
      <c r="F1203" s="437">
        <f>ROUND(10,15)</f>
        <v>10</v>
      </c>
      <c r="G1203" s="437">
        <f t="shared" si="203"/>
        <v>18.672571913850021</v>
      </c>
      <c r="H1203" s="439">
        <f>ROUND(F1203*G1203,15)</f>
        <v>186.72571913850001</v>
      </c>
      <c r="I1203" s="520">
        <v>22.41</v>
      </c>
    </row>
    <row r="1204" spans="1:9" ht="15" thickBot="1">
      <c r="A1204" s="102">
        <v>96989</v>
      </c>
      <c r="B1204" s="103" t="s">
        <v>45</v>
      </c>
      <c r="C1204" s="66" t="s">
        <v>46</v>
      </c>
      <c r="D1204" s="66" t="s">
        <v>47</v>
      </c>
      <c r="E1204" s="67" t="s">
        <v>985</v>
      </c>
      <c r="F1204" s="450">
        <f>ROUND(2,15)</f>
        <v>2</v>
      </c>
      <c r="G1204" s="440">
        <f t="shared" si="203"/>
        <v>99.153773215000115</v>
      </c>
      <c r="H1204" s="451">
        <f>ROUND(F1204*G1204,15)</f>
        <v>198.30754643</v>
      </c>
      <c r="I1204" s="520">
        <v>119</v>
      </c>
    </row>
    <row r="1205" spans="1:9" ht="15.75" thickTop="1" thickBot="1">
      <c r="A1205" s="85"/>
      <c r="B1205" s="86"/>
      <c r="C1205" s="86"/>
      <c r="D1205" s="112"/>
      <c r="E1205" s="394" t="s">
        <v>976</v>
      </c>
      <c r="F1205" s="395"/>
      <c r="G1205" s="396">
        <f>H1200+H1201+H1202+H1203+H1204</f>
        <v>10506.662183828001</v>
      </c>
      <c r="H1205" s="397">
        <f>ROUND(G1205,15)</f>
        <v>10506.662183828001</v>
      </c>
      <c r="I1205" s="520"/>
    </row>
    <row r="1206" spans="1:9" ht="15" thickBot="1">
      <c r="A1206" s="114"/>
      <c r="B1206" s="115"/>
      <c r="C1206" s="115"/>
      <c r="D1206" s="116"/>
      <c r="E1206" s="398" t="s">
        <v>876</v>
      </c>
      <c r="F1206" s="399"/>
      <c r="G1206" s="400">
        <f>H1149+H1159+H1168+H1179+H1195+H1198+H1205</f>
        <v>124370.73504638328</v>
      </c>
      <c r="H1206" s="401">
        <f>ROUND(G1206,15)</f>
        <v>124370.73504638299</v>
      </c>
      <c r="I1206" s="520"/>
    </row>
    <row r="1207" spans="1:9" ht="15.75" thickTop="1" thickBot="1">
      <c r="A1207" s="279" t="s">
        <v>986</v>
      </c>
      <c r="B1207" s="280"/>
      <c r="C1207" s="280" t="s">
        <v>38</v>
      </c>
      <c r="D1207" s="281"/>
      <c r="E1207" s="354" t="s">
        <v>987</v>
      </c>
      <c r="F1207" s="283"/>
      <c r="G1207" s="284">
        <f>G1242</f>
        <v>23265.473009717032</v>
      </c>
      <c r="H1207" s="285">
        <f>ROUND(G1207,15)</f>
        <v>23265.473009717</v>
      </c>
      <c r="I1207" s="520"/>
    </row>
    <row r="1208" spans="1:9" ht="15" thickBot="1">
      <c r="A1208" s="355" t="s">
        <v>988</v>
      </c>
      <c r="B1208" s="356"/>
      <c r="C1208" s="356" t="s">
        <v>38</v>
      </c>
      <c r="D1208" s="357"/>
      <c r="E1208" s="358" t="s">
        <v>989</v>
      </c>
      <c r="F1208" s="359"/>
      <c r="G1208" s="360">
        <f>G1228</f>
        <v>20582.617707889724</v>
      </c>
      <c r="H1208" s="361">
        <f>ROUND(G1208,15)</f>
        <v>20582.617707889702</v>
      </c>
      <c r="I1208" s="520"/>
    </row>
    <row r="1209" spans="1:9" ht="15.75" thickTop="1" thickBot="1">
      <c r="A1209" s="100">
        <v>93009</v>
      </c>
      <c r="B1209" s="101" t="s">
        <v>45</v>
      </c>
      <c r="C1209" s="64" t="s">
        <v>46</v>
      </c>
      <c r="D1209" s="64" t="s">
        <v>68</v>
      </c>
      <c r="E1209" s="65" t="s">
        <v>990</v>
      </c>
      <c r="F1209" s="446">
        <f>ROUND(132,15)</f>
        <v>132</v>
      </c>
      <c r="G1209" s="440">
        <f t="shared" ref="G1209:G1227" si="204">I1209*(100%-$I$14)</f>
        <v>17.05611544295002</v>
      </c>
      <c r="H1209" s="447">
        <f t="shared" ref="H1209:H1227" si="205">ROUND(F1209*G1209,15)</f>
        <v>2251.4072384694</v>
      </c>
      <c r="I1209" s="520">
        <v>20.47</v>
      </c>
    </row>
    <row r="1210" spans="1:9" ht="26.1" customHeight="1" thickBot="1">
      <c r="A1210" s="92">
        <v>93014</v>
      </c>
      <c r="B1210" s="93" t="s">
        <v>45</v>
      </c>
      <c r="C1210" s="58" t="s">
        <v>46</v>
      </c>
      <c r="D1210" s="58" t="s">
        <v>47</v>
      </c>
      <c r="E1210" s="59" t="s">
        <v>991</v>
      </c>
      <c r="F1210" s="437">
        <f>ROUND(44,15)</f>
        <v>44</v>
      </c>
      <c r="G1210" s="437">
        <f t="shared" si="204"/>
        <v>12.365058777400014</v>
      </c>
      <c r="H1210" s="439">
        <f t="shared" si="205"/>
        <v>544.06258620560095</v>
      </c>
      <c r="I1210" s="520">
        <v>14.84</v>
      </c>
    </row>
    <row r="1211" spans="1:9" ht="15" thickBot="1">
      <c r="A1211" s="94" t="s">
        <v>918</v>
      </c>
      <c r="B1211" s="95" t="s">
        <v>148</v>
      </c>
      <c r="C1211" s="74" t="s">
        <v>46</v>
      </c>
      <c r="D1211" s="74" t="s">
        <v>68</v>
      </c>
      <c r="E1211" s="78" t="s">
        <v>919</v>
      </c>
      <c r="F1211" s="440">
        <f>ROUND(19,15)</f>
        <v>19</v>
      </c>
      <c r="G1211" s="440">
        <f t="shared" si="204"/>
        <v>9.24046508365001</v>
      </c>
      <c r="H1211" s="441">
        <f t="shared" si="205"/>
        <v>175.56883658935001</v>
      </c>
      <c r="I1211" s="520">
        <v>11.09</v>
      </c>
    </row>
    <row r="1212" spans="1:9" ht="26.1" customHeight="1" thickBot="1">
      <c r="A1212" s="92" t="s">
        <v>992</v>
      </c>
      <c r="B1212" s="93" t="s">
        <v>45</v>
      </c>
      <c r="C1212" s="58" t="s">
        <v>46</v>
      </c>
      <c r="D1212" s="58" t="s">
        <v>47</v>
      </c>
      <c r="E1212" s="59" t="s">
        <v>993</v>
      </c>
      <c r="F1212" s="437">
        <f>ROUND(3,15)</f>
        <v>3</v>
      </c>
      <c r="G1212" s="437">
        <f t="shared" si="204"/>
        <v>183.58446094505024</v>
      </c>
      <c r="H1212" s="439">
        <f t="shared" si="205"/>
        <v>550.753382835151</v>
      </c>
      <c r="I1212" s="520">
        <v>220.33</v>
      </c>
    </row>
    <row r="1213" spans="1:9" ht="26.1" customHeight="1" thickBot="1">
      <c r="A1213" s="92">
        <v>91836</v>
      </c>
      <c r="B1213" s="93" t="s">
        <v>45</v>
      </c>
      <c r="C1213" s="58" t="s">
        <v>46</v>
      </c>
      <c r="D1213" s="58" t="s">
        <v>68</v>
      </c>
      <c r="E1213" s="59" t="s">
        <v>994</v>
      </c>
      <c r="F1213" s="437">
        <f>ROUND(257.7,15)</f>
        <v>257.7</v>
      </c>
      <c r="G1213" s="437">
        <f t="shared" si="204"/>
        <v>8.1739371028500099</v>
      </c>
      <c r="H1213" s="439">
        <f t="shared" si="205"/>
        <v>2106.4235914044498</v>
      </c>
      <c r="I1213" s="520">
        <v>9.81</v>
      </c>
    </row>
    <row r="1214" spans="1:9" ht="26.1" customHeight="1" thickBot="1">
      <c r="A1214" s="92">
        <v>91864</v>
      </c>
      <c r="B1214" s="93" t="s">
        <v>45</v>
      </c>
      <c r="C1214" s="58" t="s">
        <v>46</v>
      </c>
      <c r="D1214" s="58" t="s">
        <v>68</v>
      </c>
      <c r="E1214" s="59" t="s">
        <v>995</v>
      </c>
      <c r="F1214" s="437">
        <f>ROUND(101.7,15)</f>
        <v>101.7</v>
      </c>
      <c r="G1214" s="437">
        <f t="shared" si="204"/>
        <v>10.565292809800011</v>
      </c>
      <c r="H1214" s="439">
        <f t="shared" si="205"/>
        <v>1074.49027875666</v>
      </c>
      <c r="I1214" s="520">
        <v>12.68</v>
      </c>
    </row>
    <row r="1215" spans="1:9" ht="26.1" customHeight="1" thickBot="1">
      <c r="A1215" s="92">
        <v>91876</v>
      </c>
      <c r="B1215" s="93" t="s">
        <v>45</v>
      </c>
      <c r="C1215" s="58" t="s">
        <v>46</v>
      </c>
      <c r="D1215" s="58" t="s">
        <v>47</v>
      </c>
      <c r="E1215" s="59" t="s">
        <v>996</v>
      </c>
      <c r="F1215" s="437">
        <f>ROUND(30,15)</f>
        <v>30</v>
      </c>
      <c r="G1215" s="437">
        <f t="shared" si="204"/>
        <v>5.9242296433500075</v>
      </c>
      <c r="H1215" s="439">
        <f t="shared" si="205"/>
        <v>177.72688930050001</v>
      </c>
      <c r="I1215" s="520">
        <v>7.11</v>
      </c>
    </row>
    <row r="1216" spans="1:9" ht="26.1" customHeight="1" thickBot="1">
      <c r="A1216" s="92">
        <v>91865</v>
      </c>
      <c r="B1216" s="93" t="s">
        <v>45</v>
      </c>
      <c r="C1216" s="58" t="s">
        <v>46</v>
      </c>
      <c r="D1216" s="58" t="s">
        <v>68</v>
      </c>
      <c r="E1216" s="59" t="s">
        <v>997</v>
      </c>
      <c r="F1216" s="437">
        <f>ROUND(39,15)</f>
        <v>39</v>
      </c>
      <c r="G1216" s="437">
        <f t="shared" si="204"/>
        <v>13.148290263300014</v>
      </c>
      <c r="H1216" s="439">
        <f t="shared" si="205"/>
        <v>512.783320268701</v>
      </c>
      <c r="I1216" s="520">
        <v>15.78</v>
      </c>
    </row>
    <row r="1217" spans="1:9" ht="26.1" customHeight="1" thickBot="1">
      <c r="A1217" s="92">
        <v>91877</v>
      </c>
      <c r="B1217" s="93" t="s">
        <v>45</v>
      </c>
      <c r="C1217" s="58" t="s">
        <v>46</v>
      </c>
      <c r="D1217" s="58" t="s">
        <v>47</v>
      </c>
      <c r="E1217" s="59" t="s">
        <v>998</v>
      </c>
      <c r="F1217" s="437">
        <f>ROUND(10,15)</f>
        <v>10</v>
      </c>
      <c r="G1217" s="437">
        <f t="shared" si="204"/>
        <v>7.81565035930001</v>
      </c>
      <c r="H1217" s="439">
        <f t="shared" si="205"/>
        <v>78.156503593000096</v>
      </c>
      <c r="I1217" s="520">
        <v>9.3800000000000008</v>
      </c>
    </row>
    <row r="1218" spans="1:9" ht="15.95" customHeight="1" thickBot="1">
      <c r="A1218" s="94">
        <v>93008</v>
      </c>
      <c r="B1218" s="95" t="s">
        <v>45</v>
      </c>
      <c r="C1218" s="74" t="s">
        <v>46</v>
      </c>
      <c r="D1218" s="74" t="s">
        <v>68</v>
      </c>
      <c r="E1218" s="78" t="s">
        <v>926</v>
      </c>
      <c r="F1218" s="440">
        <f>ROUND(16.7,15)</f>
        <v>16.7</v>
      </c>
      <c r="G1218" s="440">
        <f t="shared" si="204"/>
        <v>11.581827291500014</v>
      </c>
      <c r="H1218" s="441">
        <f t="shared" si="205"/>
        <v>193.41651576805</v>
      </c>
      <c r="I1218" s="520">
        <v>13.9</v>
      </c>
    </row>
    <row r="1219" spans="1:9" ht="26.1" customHeight="1" thickBot="1">
      <c r="A1219" s="92">
        <v>93013</v>
      </c>
      <c r="B1219" s="93" t="s">
        <v>45</v>
      </c>
      <c r="C1219" s="58" t="s">
        <v>46</v>
      </c>
      <c r="D1219" s="58" t="s">
        <v>47</v>
      </c>
      <c r="E1219" s="59" t="s">
        <v>927</v>
      </c>
      <c r="F1219" s="437">
        <f>ROUND(5,15)</f>
        <v>5</v>
      </c>
      <c r="G1219" s="437">
        <f t="shared" si="204"/>
        <v>10.132015817600012</v>
      </c>
      <c r="H1219" s="439">
        <f t="shared" si="205"/>
        <v>50.660079088000103</v>
      </c>
      <c r="I1219" s="520">
        <v>12.16</v>
      </c>
    </row>
    <row r="1220" spans="1:9" ht="26.1" customHeight="1" thickBot="1">
      <c r="A1220" s="92">
        <v>95811</v>
      </c>
      <c r="B1220" s="93" t="s">
        <v>45</v>
      </c>
      <c r="C1220" s="58" t="s">
        <v>46</v>
      </c>
      <c r="D1220" s="58" t="s">
        <v>47</v>
      </c>
      <c r="E1220" s="59" t="s">
        <v>999</v>
      </c>
      <c r="F1220" s="437">
        <f>ROUND(5,15)</f>
        <v>5</v>
      </c>
      <c r="G1220" s="437">
        <f t="shared" si="204"/>
        <v>10.590289559350014</v>
      </c>
      <c r="H1220" s="439">
        <f t="shared" si="205"/>
        <v>52.951447796750102</v>
      </c>
      <c r="I1220" s="520">
        <v>12.71</v>
      </c>
    </row>
    <row r="1221" spans="1:9" ht="15" thickBot="1">
      <c r="A1221" s="94" t="s">
        <v>1000</v>
      </c>
      <c r="B1221" s="95" t="s">
        <v>57</v>
      </c>
      <c r="C1221" s="74" t="s">
        <v>46</v>
      </c>
      <c r="D1221" s="74" t="s">
        <v>47</v>
      </c>
      <c r="E1221" s="78" t="s">
        <v>1001</v>
      </c>
      <c r="F1221" s="440">
        <f>ROUND(25,15)</f>
        <v>25</v>
      </c>
      <c r="G1221" s="440">
        <f t="shared" si="204"/>
        <v>36.795215337600041</v>
      </c>
      <c r="H1221" s="441">
        <f t="shared" si="205"/>
        <v>919.88038344000097</v>
      </c>
      <c r="I1221" s="520">
        <v>44.16</v>
      </c>
    </row>
    <row r="1222" spans="1:9" ht="15" thickBot="1">
      <c r="A1222" s="94" t="s">
        <v>1002</v>
      </c>
      <c r="B1222" s="95" t="s">
        <v>57</v>
      </c>
      <c r="C1222" s="74" t="s">
        <v>46</v>
      </c>
      <c r="D1222" s="74" t="s">
        <v>47</v>
      </c>
      <c r="E1222" s="78" t="s">
        <v>1003</v>
      </c>
      <c r="F1222" s="440">
        <f>ROUND(49,15)</f>
        <v>49</v>
      </c>
      <c r="G1222" s="440">
        <f t="shared" si="204"/>
        <v>69.232664003650086</v>
      </c>
      <c r="H1222" s="441">
        <f t="shared" si="205"/>
        <v>3392.40053617885</v>
      </c>
      <c r="I1222" s="520">
        <v>83.09</v>
      </c>
    </row>
    <row r="1223" spans="1:9" ht="15" thickBot="1">
      <c r="A1223" s="94">
        <v>98307</v>
      </c>
      <c r="B1223" s="95" t="s">
        <v>45</v>
      </c>
      <c r="C1223" s="74" t="s">
        <v>46</v>
      </c>
      <c r="D1223" s="74" t="s">
        <v>47</v>
      </c>
      <c r="E1223" s="78" t="s">
        <v>1004</v>
      </c>
      <c r="F1223" s="440">
        <f>ROUND(10,15)</f>
        <v>10</v>
      </c>
      <c r="G1223" s="440">
        <f t="shared" si="204"/>
        <v>35.936993603050041</v>
      </c>
      <c r="H1223" s="441">
        <f t="shared" si="205"/>
        <v>359.36993603050001</v>
      </c>
      <c r="I1223" s="520">
        <v>43.13</v>
      </c>
    </row>
    <row r="1224" spans="1:9" ht="15" thickBot="1">
      <c r="A1224" s="94" t="s">
        <v>1005</v>
      </c>
      <c r="B1224" s="95" t="s">
        <v>148</v>
      </c>
      <c r="C1224" s="74" t="s">
        <v>46</v>
      </c>
      <c r="D1224" s="74" t="s">
        <v>47</v>
      </c>
      <c r="E1224" s="78" t="s">
        <v>1006</v>
      </c>
      <c r="F1224" s="440">
        <f>ROUND(2,15)</f>
        <v>2</v>
      </c>
      <c r="G1224" s="440">
        <f t="shared" si="204"/>
        <v>6.8991028758000077</v>
      </c>
      <c r="H1224" s="441">
        <f t="shared" si="205"/>
        <v>13.798205751599999</v>
      </c>
      <c r="I1224" s="520">
        <v>8.2799999999999994</v>
      </c>
    </row>
    <row r="1225" spans="1:9" ht="26.1" customHeight="1" thickBot="1">
      <c r="A1225" s="92">
        <v>98297</v>
      </c>
      <c r="B1225" s="93" t="s">
        <v>45</v>
      </c>
      <c r="C1225" s="58" t="s">
        <v>46</v>
      </c>
      <c r="D1225" s="58" t="s">
        <v>68</v>
      </c>
      <c r="E1225" s="59" t="s">
        <v>1007</v>
      </c>
      <c r="F1225" s="437">
        <f>ROUND(3679.84,15)</f>
        <v>3679.84</v>
      </c>
      <c r="G1225" s="437">
        <f t="shared" si="204"/>
        <v>1.8747562162500022</v>
      </c>
      <c r="H1225" s="439">
        <f t="shared" si="205"/>
        <v>6898.8029148054102</v>
      </c>
      <c r="I1225" s="520">
        <v>2.25</v>
      </c>
    </row>
    <row r="1226" spans="1:9" ht="15" thickBot="1">
      <c r="A1226" s="94" t="s">
        <v>1008</v>
      </c>
      <c r="B1226" s="95" t="s">
        <v>148</v>
      </c>
      <c r="C1226" s="74" t="s">
        <v>46</v>
      </c>
      <c r="D1226" s="74" t="s">
        <v>47</v>
      </c>
      <c r="E1226" s="78" t="s">
        <v>1009</v>
      </c>
      <c r="F1226" s="440">
        <f>ROUND(280,15)</f>
        <v>280</v>
      </c>
      <c r="G1226" s="440">
        <f t="shared" si="204"/>
        <v>3.499544937000004</v>
      </c>
      <c r="H1226" s="441">
        <f t="shared" si="205"/>
        <v>979.87258236000105</v>
      </c>
      <c r="I1226" s="520">
        <v>4.2</v>
      </c>
    </row>
    <row r="1227" spans="1:9" ht="15" thickBot="1">
      <c r="A1227" s="102" t="s">
        <v>1010</v>
      </c>
      <c r="B1227" s="103" t="s">
        <v>57</v>
      </c>
      <c r="C1227" s="66" t="s">
        <v>46</v>
      </c>
      <c r="D1227" s="66" t="s">
        <v>47</v>
      </c>
      <c r="E1227" s="67" t="s">
        <v>1011</v>
      </c>
      <c r="F1227" s="450">
        <f>ROUND(15,15)</f>
        <v>15</v>
      </c>
      <c r="G1227" s="440">
        <f t="shared" si="204"/>
        <v>16.672831949850021</v>
      </c>
      <c r="H1227" s="451">
        <f t="shared" si="205"/>
        <v>250.09247924774999</v>
      </c>
      <c r="I1227" s="520">
        <v>20.010000000000002</v>
      </c>
    </row>
    <row r="1228" spans="1:9" ht="15.75" thickTop="1" thickBot="1">
      <c r="A1228" s="51"/>
      <c r="B1228" s="52"/>
      <c r="C1228" s="52"/>
      <c r="D1228" s="136"/>
      <c r="E1228" s="524" t="s">
        <v>988</v>
      </c>
      <c r="F1228" s="387"/>
      <c r="G1228" s="388">
        <f>H1209+H1210+H1211+H1212+H1213+H1214+H1215+H1216+H1217+H1218+H1219+H1220+H1221+H1222+H1223+H1224+H1225+H1226+H1227</f>
        <v>20582.617707889724</v>
      </c>
      <c r="H1228" s="389">
        <f>ROUND(G1228,15)</f>
        <v>20582.617707889702</v>
      </c>
      <c r="I1228" s="520"/>
    </row>
    <row r="1229" spans="1:9" ht="15.75" thickTop="1" thickBot="1">
      <c r="A1229" s="272" t="s">
        <v>1012</v>
      </c>
      <c r="B1229" s="273"/>
      <c r="C1229" s="273" t="s">
        <v>38</v>
      </c>
      <c r="D1229" s="274"/>
      <c r="E1229" s="353" t="s">
        <v>973</v>
      </c>
      <c r="F1229" s="276"/>
      <c r="G1229" s="277">
        <f>G1241</f>
        <v>2682.8553018273301</v>
      </c>
      <c r="H1229" s="278">
        <f>ROUND(G1229,15)</f>
        <v>2682.8553018273301</v>
      </c>
      <c r="I1229" s="520"/>
    </row>
    <row r="1230" spans="1:9" ht="26.1" customHeight="1" thickTop="1" thickBot="1">
      <c r="A1230" s="90" t="s">
        <v>974</v>
      </c>
      <c r="B1230" s="91" t="s">
        <v>57</v>
      </c>
      <c r="C1230" s="54" t="s">
        <v>46</v>
      </c>
      <c r="D1230" s="54" t="s">
        <v>68</v>
      </c>
      <c r="E1230" s="55" t="s">
        <v>975</v>
      </c>
      <c r="F1230" s="436">
        <f>ROUND(53.7,15)</f>
        <v>53.7</v>
      </c>
      <c r="G1230" s="437">
        <f t="shared" ref="G1230:G1240" si="206">I1230*(100%-$I$14)</f>
        <v>40.036460529250043</v>
      </c>
      <c r="H1230" s="438">
        <f t="shared" ref="H1230:H1240" si="207">ROUND(F1230*G1230,15)</f>
        <v>2149.95793042073</v>
      </c>
      <c r="I1230" s="520">
        <v>48.05</v>
      </c>
    </row>
    <row r="1231" spans="1:9" ht="26.1" customHeight="1" thickBot="1">
      <c r="A1231" s="92" t="s">
        <v>1013</v>
      </c>
      <c r="B1231" s="93" t="s">
        <v>57</v>
      </c>
      <c r="C1231" s="58" t="s">
        <v>46</v>
      </c>
      <c r="D1231" s="58" t="s">
        <v>68</v>
      </c>
      <c r="E1231" s="59" t="s">
        <v>1014</v>
      </c>
      <c r="F1231" s="437">
        <f>ROUND(12,15)</f>
        <v>12</v>
      </c>
      <c r="G1231" s="437">
        <f t="shared" si="206"/>
        <v>28.662939484000031</v>
      </c>
      <c r="H1231" s="439">
        <f t="shared" si="207"/>
        <v>343.95527380800002</v>
      </c>
      <c r="I1231" s="520">
        <v>34.4</v>
      </c>
    </row>
    <row r="1232" spans="1:9" ht="15" thickBot="1">
      <c r="A1232" s="94" t="s">
        <v>1015</v>
      </c>
      <c r="B1232" s="95" t="s">
        <v>57</v>
      </c>
      <c r="C1232" s="74" t="s">
        <v>46</v>
      </c>
      <c r="D1232" s="74" t="s">
        <v>47</v>
      </c>
      <c r="E1232" s="78" t="s">
        <v>1016</v>
      </c>
      <c r="F1232" s="440">
        <f>ROUND(1,15)</f>
        <v>1</v>
      </c>
      <c r="G1232" s="440">
        <f t="shared" si="206"/>
        <v>13.564902755800016</v>
      </c>
      <c r="H1232" s="441">
        <f t="shared" si="207"/>
        <v>13.5649027558</v>
      </c>
      <c r="I1232" s="520">
        <v>16.28</v>
      </c>
    </row>
    <row r="1233" spans="1:9" ht="15" thickBot="1">
      <c r="A1233" s="94" t="s">
        <v>1017</v>
      </c>
      <c r="B1233" s="95" t="s">
        <v>57</v>
      </c>
      <c r="C1233" s="74" t="s">
        <v>46</v>
      </c>
      <c r="D1233" s="74" t="s">
        <v>47</v>
      </c>
      <c r="E1233" s="78" t="s">
        <v>1018</v>
      </c>
      <c r="F1233" s="440">
        <f>ROUND(4,15)</f>
        <v>4</v>
      </c>
      <c r="G1233" s="440">
        <f t="shared" si="206"/>
        <v>9.4654358296000112</v>
      </c>
      <c r="H1233" s="441">
        <f t="shared" si="207"/>
        <v>37.861743318400002</v>
      </c>
      <c r="I1233" s="520">
        <v>11.36</v>
      </c>
    </row>
    <row r="1234" spans="1:9" ht="15" thickBot="1">
      <c r="A1234" s="94" t="s">
        <v>1019</v>
      </c>
      <c r="B1234" s="95" t="s">
        <v>57</v>
      </c>
      <c r="C1234" s="74" t="s">
        <v>46</v>
      </c>
      <c r="D1234" s="74" t="s">
        <v>47</v>
      </c>
      <c r="E1234" s="78" t="s">
        <v>1020</v>
      </c>
      <c r="F1234" s="440">
        <f>ROUND(1,15)</f>
        <v>1</v>
      </c>
      <c r="G1234" s="440">
        <f t="shared" si="206"/>
        <v>13.481580257300015</v>
      </c>
      <c r="H1234" s="441">
        <f t="shared" si="207"/>
        <v>13.481580257299999</v>
      </c>
      <c r="I1234" s="520">
        <v>16.18</v>
      </c>
    </row>
    <row r="1235" spans="1:9" ht="15" thickBot="1">
      <c r="A1235" s="94" t="s">
        <v>1021</v>
      </c>
      <c r="B1235" s="95" t="s">
        <v>57</v>
      </c>
      <c r="C1235" s="74" t="s">
        <v>46</v>
      </c>
      <c r="D1235" s="74" t="s">
        <v>47</v>
      </c>
      <c r="E1235" s="78" t="s">
        <v>1022</v>
      </c>
      <c r="F1235" s="440">
        <f>ROUND(1,15)</f>
        <v>1</v>
      </c>
      <c r="G1235" s="440">
        <f t="shared" si="206"/>
        <v>12.231742779800014</v>
      </c>
      <c r="H1235" s="441">
        <f t="shared" si="207"/>
        <v>12.231742779799999</v>
      </c>
      <c r="I1235" s="520">
        <v>14.68</v>
      </c>
    </row>
    <row r="1236" spans="1:9" ht="15" thickBot="1">
      <c r="A1236" s="94" t="s">
        <v>1023</v>
      </c>
      <c r="B1236" s="95" t="s">
        <v>57</v>
      </c>
      <c r="C1236" s="74" t="s">
        <v>46</v>
      </c>
      <c r="D1236" s="74" t="s">
        <v>47</v>
      </c>
      <c r="E1236" s="78" t="s">
        <v>1024</v>
      </c>
      <c r="F1236" s="440">
        <f>ROUND(2,15)</f>
        <v>2</v>
      </c>
      <c r="G1236" s="440">
        <f t="shared" si="206"/>
        <v>21.138917869450026</v>
      </c>
      <c r="H1236" s="441">
        <f t="shared" si="207"/>
        <v>42.277835738900102</v>
      </c>
      <c r="I1236" s="520">
        <v>25.37</v>
      </c>
    </row>
    <row r="1237" spans="1:9" ht="15" thickBot="1">
      <c r="A1237" s="94" t="s">
        <v>1025</v>
      </c>
      <c r="B1237" s="95" t="s">
        <v>57</v>
      </c>
      <c r="C1237" s="74" t="s">
        <v>46</v>
      </c>
      <c r="D1237" s="74" t="s">
        <v>47</v>
      </c>
      <c r="E1237" s="78" t="s">
        <v>1026</v>
      </c>
      <c r="F1237" s="440">
        <f>ROUND(1,15)</f>
        <v>1</v>
      </c>
      <c r="G1237" s="440">
        <f t="shared" si="206"/>
        <v>15.78128121590002</v>
      </c>
      <c r="H1237" s="441">
        <f t="shared" si="207"/>
        <v>15.7812812159</v>
      </c>
      <c r="I1237" s="520">
        <v>18.940000000000001</v>
      </c>
    </row>
    <row r="1238" spans="1:9" ht="15" thickBot="1">
      <c r="A1238" s="94" t="s">
        <v>1027</v>
      </c>
      <c r="B1238" s="95" t="s">
        <v>57</v>
      </c>
      <c r="C1238" s="74" t="s">
        <v>46</v>
      </c>
      <c r="D1238" s="74" t="s">
        <v>47</v>
      </c>
      <c r="E1238" s="78" t="s">
        <v>1028</v>
      </c>
      <c r="F1238" s="440">
        <f>ROUND(2,15)</f>
        <v>2</v>
      </c>
      <c r="G1238" s="440">
        <f t="shared" si="206"/>
        <v>17.90600492765002</v>
      </c>
      <c r="H1238" s="441">
        <f t="shared" si="207"/>
        <v>35.812009855299998</v>
      </c>
      <c r="I1238" s="520">
        <v>21.49</v>
      </c>
    </row>
    <row r="1239" spans="1:9" ht="15" thickBot="1">
      <c r="A1239" s="94" t="s">
        <v>1029</v>
      </c>
      <c r="B1239" s="95" t="s">
        <v>57</v>
      </c>
      <c r="C1239" s="74" t="s">
        <v>46</v>
      </c>
      <c r="D1239" s="74" t="s">
        <v>47</v>
      </c>
      <c r="E1239" s="78" t="s">
        <v>1030</v>
      </c>
      <c r="F1239" s="440">
        <f>ROUND(3,15)</f>
        <v>3</v>
      </c>
      <c r="G1239" s="440">
        <f t="shared" si="206"/>
        <v>4.6493954163000053</v>
      </c>
      <c r="H1239" s="441">
        <f t="shared" si="207"/>
        <v>13.948186248900001</v>
      </c>
      <c r="I1239" s="520">
        <v>5.58</v>
      </c>
    </row>
    <row r="1240" spans="1:9" ht="15" thickBot="1">
      <c r="A1240" s="102" t="s">
        <v>1031</v>
      </c>
      <c r="B1240" s="103" t="s">
        <v>57</v>
      </c>
      <c r="C1240" s="66" t="s">
        <v>46</v>
      </c>
      <c r="D1240" s="66" t="s">
        <v>47</v>
      </c>
      <c r="E1240" s="67" t="s">
        <v>1032</v>
      </c>
      <c r="F1240" s="450">
        <f>ROUND(1,15)</f>
        <v>1</v>
      </c>
      <c r="G1240" s="440">
        <f t="shared" si="206"/>
        <v>3.9828154283000048</v>
      </c>
      <c r="H1240" s="451">
        <f t="shared" si="207"/>
        <v>3.9828154282999999</v>
      </c>
      <c r="I1240" s="520">
        <v>4.78</v>
      </c>
    </row>
    <row r="1241" spans="1:9" ht="15.75" thickTop="1" thickBot="1">
      <c r="A1241" s="85"/>
      <c r="B1241" s="86"/>
      <c r="C1241" s="86"/>
      <c r="D1241" s="112"/>
      <c r="E1241" s="394" t="s">
        <v>1012</v>
      </c>
      <c r="F1241" s="395"/>
      <c r="G1241" s="396">
        <f>H1230+H1231+H1232+H1233+H1234+H1235+H1236+H1237+H1238+H1239+H1240</f>
        <v>2682.8553018273301</v>
      </c>
      <c r="H1241" s="397">
        <f>ROUND(G1241,15)</f>
        <v>2682.8553018273301</v>
      </c>
      <c r="I1241" s="520"/>
    </row>
    <row r="1242" spans="1:9" ht="15" thickBot="1">
      <c r="A1242" s="114"/>
      <c r="B1242" s="115"/>
      <c r="C1242" s="115"/>
      <c r="D1242" s="116"/>
      <c r="E1242" s="535" t="s">
        <v>986</v>
      </c>
      <c r="F1242" s="536"/>
      <c r="G1242" s="537">
        <f>H1228+H1241</f>
        <v>23265.473009717032</v>
      </c>
      <c r="H1242" s="538">
        <f>ROUND(G1242,15)</f>
        <v>23265.473009717</v>
      </c>
      <c r="I1242" s="520"/>
    </row>
    <row r="1243" spans="1:9" ht="15.75" thickTop="1" thickBot="1">
      <c r="A1243" s="279" t="s">
        <v>1033</v>
      </c>
      <c r="B1243" s="280"/>
      <c r="C1243" s="280" t="s">
        <v>38</v>
      </c>
      <c r="D1243" s="281"/>
      <c r="E1243" s="354" t="s">
        <v>1034</v>
      </c>
      <c r="F1243" s="283"/>
      <c r="G1243" s="284">
        <f>G1250</f>
        <v>2941.9066161137998</v>
      </c>
      <c r="H1243" s="285">
        <f>ROUND(G1243,15)</f>
        <v>2941.9066161137998</v>
      </c>
      <c r="I1243" s="520"/>
    </row>
    <row r="1244" spans="1:9" ht="15" thickBot="1">
      <c r="A1244" s="355" t="s">
        <v>1035</v>
      </c>
      <c r="B1244" s="356"/>
      <c r="C1244" s="356" t="s">
        <v>38</v>
      </c>
      <c r="D1244" s="357"/>
      <c r="E1244" s="358" t="s">
        <v>1036</v>
      </c>
      <c r="F1244" s="359"/>
      <c r="G1244" s="360">
        <f>G1249</f>
        <v>2941.906616113798</v>
      </c>
      <c r="H1244" s="361">
        <f>ROUND(G1244,15)</f>
        <v>2941.9066161137998</v>
      </c>
      <c r="I1244" s="520"/>
    </row>
    <row r="1245" spans="1:9" ht="36" customHeight="1" thickTop="1" thickBot="1">
      <c r="A1245" s="90" t="s">
        <v>1037</v>
      </c>
      <c r="B1245" s="91" t="s">
        <v>57</v>
      </c>
      <c r="C1245" s="54" t="s">
        <v>46</v>
      </c>
      <c r="D1245" s="54" t="s">
        <v>47</v>
      </c>
      <c r="E1245" s="55" t="s">
        <v>1038</v>
      </c>
      <c r="F1245" s="436">
        <f>ROUND(22,15)</f>
        <v>22</v>
      </c>
      <c r="G1245" s="437">
        <f t="shared" ref="G1245:G1248" si="208">I1245*(100%-$I$14)</f>
        <v>45.735719426650057</v>
      </c>
      <c r="H1245" s="438">
        <f>ROUND(F1245*G1245,15)</f>
        <v>1006.1858273863</v>
      </c>
      <c r="I1245" s="520">
        <v>54.89</v>
      </c>
    </row>
    <row r="1246" spans="1:9" ht="26.1" customHeight="1" thickBot="1">
      <c r="A1246" s="92">
        <v>91834</v>
      </c>
      <c r="B1246" s="93" t="s">
        <v>45</v>
      </c>
      <c r="C1246" s="58" t="s">
        <v>46</v>
      </c>
      <c r="D1246" s="58" t="s">
        <v>68</v>
      </c>
      <c r="E1246" s="59" t="s">
        <v>1039</v>
      </c>
      <c r="F1246" s="437">
        <f>ROUND(154.07,15)</f>
        <v>154.07</v>
      </c>
      <c r="G1246" s="437">
        <f t="shared" si="208"/>
        <v>6.2241906379500067</v>
      </c>
      <c r="H1246" s="439">
        <f>ROUND(F1246*G1246,15)</f>
        <v>958.96105158895796</v>
      </c>
      <c r="I1246" s="520">
        <v>7.47</v>
      </c>
    </row>
    <row r="1247" spans="1:9" ht="15.95" customHeight="1" thickBot="1">
      <c r="A1247" s="94" t="s">
        <v>1040</v>
      </c>
      <c r="B1247" s="95" t="s">
        <v>148</v>
      </c>
      <c r="C1247" s="74" t="s">
        <v>46</v>
      </c>
      <c r="D1247" s="74" t="s">
        <v>68</v>
      </c>
      <c r="E1247" s="78" t="s">
        <v>1412</v>
      </c>
      <c r="F1247" s="440">
        <f>ROUND(347.37,15)</f>
        <v>347.37</v>
      </c>
      <c r="G1247" s="440">
        <f t="shared" si="208"/>
        <v>2.4413492060500031</v>
      </c>
      <c r="H1247" s="441">
        <f>ROUND(F1247*G1247,15)</f>
        <v>848.05147370558996</v>
      </c>
      <c r="I1247" s="520">
        <v>2.93</v>
      </c>
    </row>
    <row r="1248" spans="1:9" ht="36" customHeight="1" thickBot="1">
      <c r="A1248" s="96" t="s">
        <v>1041</v>
      </c>
      <c r="B1248" s="97" t="s">
        <v>57</v>
      </c>
      <c r="C1248" s="60" t="s">
        <v>46</v>
      </c>
      <c r="D1248" s="60" t="s">
        <v>47</v>
      </c>
      <c r="E1248" s="61" t="s">
        <v>1411</v>
      </c>
      <c r="F1248" s="442">
        <f>ROUND(1,15)</f>
        <v>1</v>
      </c>
      <c r="G1248" s="437">
        <f t="shared" si="208"/>
        <v>128.70826343295016</v>
      </c>
      <c r="H1248" s="443">
        <f>ROUND(F1248*G1248,15)</f>
        <v>128.70826343294999</v>
      </c>
      <c r="I1248" s="520">
        <v>154.47</v>
      </c>
    </row>
    <row r="1249" spans="1:9" ht="15.75" thickTop="1" thickBot="1">
      <c r="A1249" s="85"/>
      <c r="B1249" s="86"/>
      <c r="C1249" s="86"/>
      <c r="D1249" s="112"/>
      <c r="E1249" s="394" t="s">
        <v>1035</v>
      </c>
      <c r="F1249" s="395"/>
      <c r="G1249" s="396">
        <f>H1245+H1246+H1247+H1248</f>
        <v>2941.906616113798</v>
      </c>
      <c r="H1249" s="397">
        <f t="shared" ref="H1249:H1255" si="209">ROUND(G1249,15)</f>
        <v>2941.9066161137998</v>
      </c>
      <c r="I1249" s="520"/>
    </row>
    <row r="1250" spans="1:9" ht="15" thickBot="1">
      <c r="A1250" s="75"/>
      <c r="B1250" s="76"/>
      <c r="C1250" s="76"/>
      <c r="D1250" s="113"/>
      <c r="E1250" s="477" t="s">
        <v>1033</v>
      </c>
      <c r="F1250" s="478"/>
      <c r="G1250" s="479">
        <f>H1249</f>
        <v>2941.9066161137998</v>
      </c>
      <c r="H1250" s="480">
        <f t="shared" si="209"/>
        <v>2941.9066161137998</v>
      </c>
      <c r="I1250" s="520"/>
    </row>
    <row r="1251" spans="1:9" ht="15" thickBot="1">
      <c r="A1251" s="114"/>
      <c r="B1251" s="115"/>
      <c r="C1251" s="115"/>
      <c r="D1251" s="116"/>
      <c r="E1251" s="398" t="s">
        <v>875</v>
      </c>
      <c r="F1251" s="399"/>
      <c r="G1251" s="400">
        <f>H1206+H1242+H1250</f>
        <v>150578.11467221379</v>
      </c>
      <c r="H1251" s="401">
        <f t="shared" si="209"/>
        <v>150578.114672214</v>
      </c>
      <c r="I1251" s="520"/>
    </row>
    <row r="1252" spans="1:9" ht="15.75" thickTop="1" thickBot="1">
      <c r="A1252" s="213" t="s">
        <v>1042</v>
      </c>
      <c r="B1252" s="214"/>
      <c r="C1252" s="214" t="s">
        <v>38</v>
      </c>
      <c r="D1252" s="215"/>
      <c r="E1252" s="216" t="s">
        <v>246</v>
      </c>
      <c r="F1252" s="217"/>
      <c r="G1252" s="218">
        <f>G1322</f>
        <v>42827.5821693408</v>
      </c>
      <c r="H1252" s="219">
        <f t="shared" si="209"/>
        <v>42827.5821693408</v>
      </c>
      <c r="I1252" s="520"/>
    </row>
    <row r="1253" spans="1:9" ht="15" thickBot="1">
      <c r="A1253" s="258" t="s">
        <v>1043</v>
      </c>
      <c r="B1253" s="259"/>
      <c r="C1253" s="259" t="s">
        <v>38</v>
      </c>
      <c r="D1253" s="260"/>
      <c r="E1253" s="351" t="s">
        <v>877</v>
      </c>
      <c r="F1253" s="262"/>
      <c r="G1253" s="263">
        <f>G1321</f>
        <v>42827.582169340785</v>
      </c>
      <c r="H1253" s="264">
        <f t="shared" si="209"/>
        <v>42827.5821693408</v>
      </c>
      <c r="I1253" s="520"/>
    </row>
    <row r="1254" spans="1:9" ht="15" thickBot="1">
      <c r="A1254" s="286" t="s">
        <v>1044</v>
      </c>
      <c r="B1254" s="287"/>
      <c r="C1254" s="287" t="s">
        <v>38</v>
      </c>
      <c r="D1254" s="288"/>
      <c r="E1254" s="370" t="s">
        <v>879</v>
      </c>
      <c r="F1254" s="290"/>
      <c r="G1254" s="291">
        <f>G1274</f>
        <v>2674.2439216073499</v>
      </c>
      <c r="H1254" s="292">
        <f t="shared" si="209"/>
        <v>2674.2439216073499</v>
      </c>
      <c r="I1254" s="520"/>
    </row>
    <row r="1255" spans="1:9" ht="15" thickBot="1">
      <c r="A1255" s="293" t="s">
        <v>1045</v>
      </c>
      <c r="B1255" s="294"/>
      <c r="C1255" s="294" t="s">
        <v>38</v>
      </c>
      <c r="D1255" s="295"/>
      <c r="E1255" s="371" t="s">
        <v>892</v>
      </c>
      <c r="F1255" s="297"/>
      <c r="G1255" s="298">
        <f>G1264</f>
        <v>1613.1152387101511</v>
      </c>
      <c r="H1255" s="299">
        <f t="shared" si="209"/>
        <v>1613.1152387101499</v>
      </c>
      <c r="I1255" s="520"/>
    </row>
    <row r="1256" spans="1:9" ht="26.1" customHeight="1" thickTop="1" thickBot="1">
      <c r="A1256" s="90">
        <v>93653</v>
      </c>
      <c r="B1256" s="91" t="s">
        <v>45</v>
      </c>
      <c r="C1256" s="54" t="s">
        <v>46</v>
      </c>
      <c r="D1256" s="54" t="s">
        <v>47</v>
      </c>
      <c r="E1256" s="55" t="s">
        <v>893</v>
      </c>
      <c r="F1256" s="436">
        <f>ROUND(15,15)</f>
        <v>15</v>
      </c>
      <c r="G1256" s="437">
        <f t="shared" ref="G1256:G1263" si="210">I1256*(100%-$I$14)</f>
        <v>9.3237875821500111</v>
      </c>
      <c r="H1256" s="438">
        <f t="shared" ref="H1256:H1263" si="211">ROUND(F1256*G1256,15)</f>
        <v>139.85681373225</v>
      </c>
      <c r="I1256" s="520">
        <v>11.19</v>
      </c>
    </row>
    <row r="1257" spans="1:9" ht="26.1" customHeight="1" thickBot="1">
      <c r="A1257" s="92">
        <v>93655</v>
      </c>
      <c r="B1257" s="93" t="s">
        <v>45</v>
      </c>
      <c r="C1257" s="58" t="s">
        <v>46</v>
      </c>
      <c r="D1257" s="58" t="s">
        <v>47</v>
      </c>
      <c r="E1257" s="59" t="s">
        <v>894</v>
      </c>
      <c r="F1257" s="437">
        <f>ROUND(5,15)</f>
        <v>5</v>
      </c>
      <c r="G1257" s="437">
        <f t="shared" si="210"/>
        <v>10.606954059050013</v>
      </c>
      <c r="H1257" s="439">
        <f t="shared" si="211"/>
        <v>53.034770295250098</v>
      </c>
      <c r="I1257" s="520">
        <v>12.73</v>
      </c>
    </row>
    <row r="1258" spans="1:9" ht="26.1" customHeight="1" thickBot="1">
      <c r="A1258" s="92">
        <v>93656</v>
      </c>
      <c r="B1258" s="93" t="s">
        <v>45</v>
      </c>
      <c r="C1258" s="58" t="s">
        <v>46</v>
      </c>
      <c r="D1258" s="58" t="s">
        <v>47</v>
      </c>
      <c r="E1258" s="59" t="s">
        <v>882</v>
      </c>
      <c r="F1258" s="437">
        <f>ROUND(2,15)</f>
        <v>2</v>
      </c>
      <c r="G1258" s="437">
        <f t="shared" si="210"/>
        <v>10.606954059050013</v>
      </c>
      <c r="H1258" s="439">
        <f t="shared" si="211"/>
        <v>21.213908118100001</v>
      </c>
      <c r="I1258" s="520">
        <v>12.73</v>
      </c>
    </row>
    <row r="1259" spans="1:9" ht="26.1" customHeight="1" thickBot="1">
      <c r="A1259" s="92">
        <v>93657</v>
      </c>
      <c r="B1259" s="93" t="s">
        <v>45</v>
      </c>
      <c r="C1259" s="58" t="s">
        <v>46</v>
      </c>
      <c r="D1259" s="58" t="s">
        <v>47</v>
      </c>
      <c r="E1259" s="59" t="s">
        <v>1046</v>
      </c>
      <c r="F1259" s="437">
        <f>ROUND(2,15)</f>
        <v>2</v>
      </c>
      <c r="G1259" s="437">
        <f t="shared" si="210"/>
        <v>11.631820790600015</v>
      </c>
      <c r="H1259" s="439">
        <f t="shared" si="211"/>
        <v>23.263641581200002</v>
      </c>
      <c r="I1259" s="520">
        <v>13.96</v>
      </c>
    </row>
    <row r="1260" spans="1:9" ht="26.1" customHeight="1" thickBot="1">
      <c r="A1260" s="92">
        <v>93672</v>
      </c>
      <c r="B1260" s="93" t="s">
        <v>45</v>
      </c>
      <c r="C1260" s="58" t="s">
        <v>46</v>
      </c>
      <c r="D1260" s="58" t="s">
        <v>47</v>
      </c>
      <c r="E1260" s="59" t="s">
        <v>884</v>
      </c>
      <c r="F1260" s="437">
        <f>ROUND(3,15)</f>
        <v>3</v>
      </c>
      <c r="G1260" s="437">
        <f t="shared" si="210"/>
        <v>69.799256993450072</v>
      </c>
      <c r="H1260" s="439">
        <f t="shared" si="211"/>
        <v>209.39777098035</v>
      </c>
      <c r="I1260" s="520">
        <v>83.77</v>
      </c>
    </row>
    <row r="1261" spans="1:9" ht="15" thickBot="1">
      <c r="A1261" s="94" t="s">
        <v>899</v>
      </c>
      <c r="B1261" s="95" t="s">
        <v>57</v>
      </c>
      <c r="C1261" s="74" t="s">
        <v>46</v>
      </c>
      <c r="D1261" s="74" t="s">
        <v>47</v>
      </c>
      <c r="E1261" s="78" t="s">
        <v>900</v>
      </c>
      <c r="F1261" s="440">
        <f>ROUND(1,15)</f>
        <v>1</v>
      </c>
      <c r="G1261" s="440">
        <f t="shared" si="210"/>
        <v>130.85798389425017</v>
      </c>
      <c r="H1261" s="441">
        <f t="shared" si="211"/>
        <v>130.85798389425</v>
      </c>
      <c r="I1261" s="520">
        <v>157.05000000000001</v>
      </c>
    </row>
    <row r="1262" spans="1:9" ht="15" thickBot="1">
      <c r="A1262" s="94" t="s">
        <v>889</v>
      </c>
      <c r="B1262" s="95" t="s">
        <v>57</v>
      </c>
      <c r="C1262" s="74" t="s">
        <v>46</v>
      </c>
      <c r="D1262" s="74" t="s">
        <v>47</v>
      </c>
      <c r="E1262" s="78" t="s">
        <v>890</v>
      </c>
      <c r="F1262" s="440">
        <f>ROUND(4,15)</f>
        <v>4</v>
      </c>
      <c r="G1262" s="440">
        <f t="shared" si="210"/>
        <v>90.788194365600106</v>
      </c>
      <c r="H1262" s="441">
        <f t="shared" si="211"/>
        <v>363.15277746240002</v>
      </c>
      <c r="I1262" s="520">
        <v>108.96</v>
      </c>
    </row>
    <row r="1263" spans="1:9" ht="26.1" customHeight="1" thickBot="1">
      <c r="A1263" s="96">
        <v>101881</v>
      </c>
      <c r="B1263" s="97" t="s">
        <v>45</v>
      </c>
      <c r="C1263" s="60" t="s">
        <v>46</v>
      </c>
      <c r="D1263" s="60" t="s">
        <v>47</v>
      </c>
      <c r="E1263" s="61" t="s">
        <v>1517</v>
      </c>
      <c r="F1263" s="442">
        <f>ROUND(1,15)</f>
        <v>1</v>
      </c>
      <c r="G1263" s="437">
        <f t="shared" si="210"/>
        <v>672.33757264635074</v>
      </c>
      <c r="H1263" s="443">
        <f t="shared" si="211"/>
        <v>672.33757264635096</v>
      </c>
      <c r="I1263" s="520">
        <v>806.91</v>
      </c>
    </row>
    <row r="1264" spans="1:9" ht="15.75" thickTop="1" thickBot="1">
      <c r="A1264" s="51"/>
      <c r="B1264" s="52"/>
      <c r="C1264" s="52"/>
      <c r="D1264" s="136"/>
      <c r="E1264" s="435" t="s">
        <v>1045</v>
      </c>
      <c r="F1264" s="416"/>
      <c r="G1264" s="417">
        <f>H1256+H1257+H1258+H1259+H1260+H1261+H1262+H1263</f>
        <v>1613.1152387101511</v>
      </c>
      <c r="H1264" s="418">
        <f>ROUND(G1264,15)</f>
        <v>1613.1152387101499</v>
      </c>
      <c r="I1264" s="520"/>
    </row>
    <row r="1265" spans="1:9" ht="15.75" thickTop="1" thickBot="1">
      <c r="A1265" s="300" t="s">
        <v>1047</v>
      </c>
      <c r="B1265" s="301"/>
      <c r="C1265" s="301" t="s">
        <v>38</v>
      </c>
      <c r="D1265" s="302"/>
      <c r="E1265" s="369" t="s">
        <v>902</v>
      </c>
      <c r="F1265" s="304"/>
      <c r="G1265" s="305">
        <f>G1273</f>
        <v>1061.1286828972011</v>
      </c>
      <c r="H1265" s="306">
        <f>ROUND(G1265,15)</f>
        <v>1061.1286828972</v>
      </c>
      <c r="I1265" s="520"/>
    </row>
    <row r="1266" spans="1:9" ht="26.1" customHeight="1" thickTop="1" thickBot="1">
      <c r="A1266" s="90">
        <v>93653</v>
      </c>
      <c r="B1266" s="91" t="s">
        <v>45</v>
      </c>
      <c r="C1266" s="54" t="s">
        <v>46</v>
      </c>
      <c r="D1266" s="54" t="s">
        <v>47</v>
      </c>
      <c r="E1266" s="55" t="s">
        <v>893</v>
      </c>
      <c r="F1266" s="436">
        <f>ROUND(1,15)</f>
        <v>1</v>
      </c>
      <c r="G1266" s="437">
        <f t="shared" ref="G1266:G1272" si="212">I1266*(100%-$I$14)</f>
        <v>9.3237875821500111</v>
      </c>
      <c r="H1266" s="438">
        <f t="shared" ref="H1266:H1272" si="213">ROUND(F1266*G1266,15)</f>
        <v>9.3237875821500094</v>
      </c>
      <c r="I1266" s="520">
        <v>11.19</v>
      </c>
    </row>
    <row r="1267" spans="1:9" ht="26.1" customHeight="1" thickBot="1">
      <c r="A1267" s="92">
        <v>93654</v>
      </c>
      <c r="B1267" s="93" t="s">
        <v>45</v>
      </c>
      <c r="C1267" s="58" t="s">
        <v>46</v>
      </c>
      <c r="D1267" s="58" t="s">
        <v>47</v>
      </c>
      <c r="E1267" s="59" t="s">
        <v>903</v>
      </c>
      <c r="F1267" s="437">
        <f>ROUND(2,15)</f>
        <v>2</v>
      </c>
      <c r="G1267" s="437">
        <f t="shared" si="212"/>
        <v>9.7570645743500126</v>
      </c>
      <c r="H1267" s="439">
        <f t="shared" si="213"/>
        <v>19.5141291487</v>
      </c>
      <c r="I1267" s="520">
        <v>11.71</v>
      </c>
    </row>
    <row r="1268" spans="1:9" ht="26.1" customHeight="1" thickBot="1">
      <c r="A1268" s="92">
        <v>93655</v>
      </c>
      <c r="B1268" s="93" t="s">
        <v>45</v>
      </c>
      <c r="C1268" s="58" t="s">
        <v>46</v>
      </c>
      <c r="D1268" s="58" t="s">
        <v>47</v>
      </c>
      <c r="E1268" s="59" t="s">
        <v>894</v>
      </c>
      <c r="F1268" s="437">
        <f>ROUND(1,15)</f>
        <v>1</v>
      </c>
      <c r="G1268" s="437">
        <f t="shared" si="212"/>
        <v>10.606954059050013</v>
      </c>
      <c r="H1268" s="439">
        <f t="shared" si="213"/>
        <v>10.60695405905</v>
      </c>
      <c r="I1268" s="520">
        <v>12.73</v>
      </c>
    </row>
    <row r="1269" spans="1:9" ht="26.1" customHeight="1" thickBot="1">
      <c r="A1269" s="92">
        <v>93670</v>
      </c>
      <c r="B1269" s="93" t="s">
        <v>45</v>
      </c>
      <c r="C1269" s="58" t="s">
        <v>46</v>
      </c>
      <c r="D1269" s="58" t="s">
        <v>47</v>
      </c>
      <c r="E1269" s="59" t="s">
        <v>883</v>
      </c>
      <c r="F1269" s="437">
        <f>ROUND(1,15)</f>
        <v>1</v>
      </c>
      <c r="G1269" s="437">
        <f t="shared" si="212"/>
        <v>61.85862288640007</v>
      </c>
      <c r="H1269" s="439">
        <f t="shared" si="213"/>
        <v>61.858622886400099</v>
      </c>
      <c r="I1269" s="520">
        <v>74.239999999999995</v>
      </c>
    </row>
    <row r="1270" spans="1:9" ht="15" thickBot="1">
      <c r="A1270" s="94" t="s">
        <v>895</v>
      </c>
      <c r="B1270" s="95" t="s">
        <v>57</v>
      </c>
      <c r="C1270" s="74" t="s">
        <v>46</v>
      </c>
      <c r="D1270" s="74" t="s">
        <v>47</v>
      </c>
      <c r="E1270" s="78" t="s">
        <v>896</v>
      </c>
      <c r="F1270" s="440">
        <f>ROUND(1,15)</f>
        <v>1</v>
      </c>
      <c r="G1270" s="440">
        <f t="shared" si="212"/>
        <v>128.81658268100014</v>
      </c>
      <c r="H1270" s="441">
        <f t="shared" si="213"/>
        <v>128.816582681</v>
      </c>
      <c r="I1270" s="520">
        <v>154.6</v>
      </c>
    </row>
    <row r="1271" spans="1:9" ht="15" thickBot="1">
      <c r="A1271" s="94" t="s">
        <v>889</v>
      </c>
      <c r="B1271" s="95" t="s">
        <v>57</v>
      </c>
      <c r="C1271" s="74" t="s">
        <v>46</v>
      </c>
      <c r="D1271" s="74" t="s">
        <v>47</v>
      </c>
      <c r="E1271" s="78" t="s">
        <v>890</v>
      </c>
      <c r="F1271" s="440">
        <f>ROUND(4,15)</f>
        <v>4</v>
      </c>
      <c r="G1271" s="440">
        <f t="shared" si="212"/>
        <v>90.788194365600106</v>
      </c>
      <c r="H1271" s="441">
        <f t="shared" si="213"/>
        <v>363.15277746240002</v>
      </c>
      <c r="I1271" s="520">
        <v>108.96</v>
      </c>
    </row>
    <row r="1272" spans="1:9" ht="26.1" customHeight="1" thickBot="1">
      <c r="A1272" s="96">
        <v>101880</v>
      </c>
      <c r="B1272" s="97" t="s">
        <v>45</v>
      </c>
      <c r="C1272" s="60" t="s">
        <v>46</v>
      </c>
      <c r="D1272" s="60" t="s">
        <v>47</v>
      </c>
      <c r="E1272" s="61" t="s">
        <v>1516</v>
      </c>
      <c r="F1272" s="442">
        <f>ROUND(1,15)</f>
        <v>1</v>
      </c>
      <c r="G1272" s="437">
        <f t="shared" si="212"/>
        <v>467.85582907750057</v>
      </c>
      <c r="H1272" s="443">
        <f t="shared" si="213"/>
        <v>467.85582907750103</v>
      </c>
      <c r="I1272" s="520">
        <v>561.5</v>
      </c>
    </row>
    <row r="1273" spans="1:9" ht="15.75" thickTop="1" thickBot="1">
      <c r="A1273" s="85"/>
      <c r="B1273" s="86"/>
      <c r="C1273" s="86"/>
      <c r="D1273" s="112"/>
      <c r="E1273" s="423" t="s">
        <v>1047</v>
      </c>
      <c r="F1273" s="424"/>
      <c r="G1273" s="425">
        <f>H1266+H1267+H1268+H1269+H1270+H1271+H1272</f>
        <v>1061.1286828972011</v>
      </c>
      <c r="H1273" s="426">
        <f>ROUND(G1273,15)</f>
        <v>1061.1286828972</v>
      </c>
      <c r="I1273" s="520"/>
    </row>
    <row r="1274" spans="1:9" ht="15" thickBot="1">
      <c r="A1274" s="114"/>
      <c r="B1274" s="115"/>
      <c r="C1274" s="115"/>
      <c r="D1274" s="116"/>
      <c r="E1274" s="427" t="s">
        <v>1044</v>
      </c>
      <c r="F1274" s="428"/>
      <c r="G1274" s="429">
        <f>H1264+H1273</f>
        <v>2674.2439216073499</v>
      </c>
      <c r="H1274" s="430">
        <f>ROUND(G1274,15)</f>
        <v>2674.2439216073499</v>
      </c>
      <c r="I1274" s="520"/>
    </row>
    <row r="1275" spans="1:9" ht="15.75" thickTop="1" thickBot="1">
      <c r="A1275" s="272" t="s">
        <v>1048</v>
      </c>
      <c r="B1275" s="273"/>
      <c r="C1275" s="273" t="s">
        <v>38</v>
      </c>
      <c r="D1275" s="274"/>
      <c r="E1275" s="353" t="s">
        <v>1049</v>
      </c>
      <c r="F1275" s="276"/>
      <c r="G1275" s="277">
        <f>G1283</f>
        <v>7348.6394203572963</v>
      </c>
      <c r="H1275" s="278">
        <f>ROUND(G1275,15)</f>
        <v>7348.6394203573</v>
      </c>
      <c r="I1275" s="520"/>
    </row>
    <row r="1276" spans="1:9" ht="15.95" customHeight="1" thickTop="1" thickBot="1">
      <c r="A1276" s="100" t="s">
        <v>918</v>
      </c>
      <c r="B1276" s="101" t="s">
        <v>148</v>
      </c>
      <c r="C1276" s="64" t="s">
        <v>46</v>
      </c>
      <c r="D1276" s="64" t="s">
        <v>68</v>
      </c>
      <c r="E1276" s="65" t="s">
        <v>919</v>
      </c>
      <c r="F1276" s="446">
        <f>ROUND(486.7,15)</f>
        <v>486.7</v>
      </c>
      <c r="G1276" s="440">
        <f t="shared" ref="G1276:G1282" si="214">I1276*(100%-$I$14)</f>
        <v>9.24046508365001</v>
      </c>
      <c r="H1276" s="447">
        <f t="shared" ref="H1276:H1282" si="215">ROUND(F1276*G1276,15)</f>
        <v>4497.3343562124601</v>
      </c>
      <c r="I1276" s="520">
        <v>11.09</v>
      </c>
    </row>
    <row r="1277" spans="1:9" ht="15.95" customHeight="1" thickBot="1">
      <c r="A1277" s="94" t="s">
        <v>920</v>
      </c>
      <c r="B1277" s="95" t="s">
        <v>148</v>
      </c>
      <c r="C1277" s="74" t="s">
        <v>46</v>
      </c>
      <c r="D1277" s="74" t="s">
        <v>47</v>
      </c>
      <c r="E1277" s="78" t="s">
        <v>921</v>
      </c>
      <c r="F1277" s="440">
        <f>ROUND(162,15)</f>
        <v>162</v>
      </c>
      <c r="G1277" s="440">
        <f t="shared" si="214"/>
        <v>5.932561893200007</v>
      </c>
      <c r="H1277" s="441">
        <f t="shared" si="215"/>
        <v>961.07502669840096</v>
      </c>
      <c r="I1277" s="520">
        <v>7.12</v>
      </c>
    </row>
    <row r="1278" spans="1:9" ht="15.95" customHeight="1" thickBot="1">
      <c r="A1278" s="94" t="s">
        <v>922</v>
      </c>
      <c r="B1278" s="95" t="s">
        <v>148</v>
      </c>
      <c r="C1278" s="74" t="s">
        <v>46</v>
      </c>
      <c r="D1278" s="74" t="s">
        <v>68</v>
      </c>
      <c r="E1278" s="78" t="s">
        <v>923</v>
      </c>
      <c r="F1278" s="440">
        <f>ROUND(3.9,15)</f>
        <v>3.9</v>
      </c>
      <c r="G1278" s="440">
        <f t="shared" si="214"/>
        <v>11.823462537150013</v>
      </c>
      <c r="H1278" s="441">
        <f t="shared" si="215"/>
        <v>46.111503894884997</v>
      </c>
      <c r="I1278" s="520">
        <v>14.19</v>
      </c>
    </row>
    <row r="1279" spans="1:9" ht="15.95" customHeight="1" thickBot="1">
      <c r="A1279" s="94" t="s">
        <v>924</v>
      </c>
      <c r="B1279" s="95" t="s">
        <v>148</v>
      </c>
      <c r="C1279" s="74" t="s">
        <v>46</v>
      </c>
      <c r="D1279" s="74" t="s">
        <v>47</v>
      </c>
      <c r="E1279" s="78" t="s">
        <v>925</v>
      </c>
      <c r="F1279" s="440">
        <f>ROUND(1,15)</f>
        <v>1</v>
      </c>
      <c r="G1279" s="440">
        <f t="shared" si="214"/>
        <v>7.8239826091500095</v>
      </c>
      <c r="H1279" s="441">
        <f t="shared" si="215"/>
        <v>7.8239826091500104</v>
      </c>
      <c r="I1279" s="520">
        <v>9.39</v>
      </c>
    </row>
    <row r="1280" spans="1:9" ht="15.95" customHeight="1" thickBot="1">
      <c r="A1280" s="94">
        <v>93008</v>
      </c>
      <c r="B1280" s="95" t="s">
        <v>45</v>
      </c>
      <c r="C1280" s="74" t="s">
        <v>46</v>
      </c>
      <c r="D1280" s="74" t="s">
        <v>68</v>
      </c>
      <c r="E1280" s="78" t="s">
        <v>926</v>
      </c>
      <c r="F1280" s="440">
        <f>ROUND(10.4,15)</f>
        <v>10.4</v>
      </c>
      <c r="G1280" s="440">
        <f t="shared" si="214"/>
        <v>11.581827291500014</v>
      </c>
      <c r="H1280" s="441">
        <f t="shared" si="215"/>
        <v>120.4510038316</v>
      </c>
      <c r="I1280" s="520">
        <v>13.9</v>
      </c>
    </row>
    <row r="1281" spans="1:9" ht="26.1" customHeight="1" thickBot="1">
      <c r="A1281" s="92">
        <v>93013</v>
      </c>
      <c r="B1281" s="93" t="s">
        <v>45</v>
      </c>
      <c r="C1281" s="58" t="s">
        <v>46</v>
      </c>
      <c r="D1281" s="58" t="s">
        <v>47</v>
      </c>
      <c r="E1281" s="59" t="s">
        <v>927</v>
      </c>
      <c r="F1281" s="437">
        <f>ROUND(3,15)</f>
        <v>3</v>
      </c>
      <c r="G1281" s="437">
        <f t="shared" si="214"/>
        <v>10.132015817600012</v>
      </c>
      <c r="H1281" s="439">
        <f t="shared" si="215"/>
        <v>30.396047452800001</v>
      </c>
      <c r="I1281" s="520">
        <v>12.16</v>
      </c>
    </row>
    <row r="1282" spans="1:9" ht="26.1" customHeight="1" thickBot="1">
      <c r="A1282" s="96" t="s">
        <v>1050</v>
      </c>
      <c r="B1282" s="97" t="s">
        <v>57</v>
      </c>
      <c r="C1282" s="60" t="s">
        <v>46</v>
      </c>
      <c r="D1282" s="60" t="s">
        <v>47</v>
      </c>
      <c r="E1282" s="61" t="s">
        <v>1051</v>
      </c>
      <c r="F1282" s="442">
        <f>ROUND(4,15)</f>
        <v>4</v>
      </c>
      <c r="G1282" s="437">
        <f t="shared" si="214"/>
        <v>421.3618749145005</v>
      </c>
      <c r="H1282" s="443">
        <f t="shared" si="215"/>
        <v>1685.447499658</v>
      </c>
      <c r="I1282" s="520">
        <v>505.7</v>
      </c>
    </row>
    <row r="1283" spans="1:9" ht="15.75" thickTop="1" thickBot="1">
      <c r="A1283" s="51"/>
      <c r="B1283" s="52"/>
      <c r="C1283" s="52"/>
      <c r="D1283" s="136"/>
      <c r="E1283" s="435" t="s">
        <v>1048</v>
      </c>
      <c r="F1283" s="416"/>
      <c r="G1283" s="417">
        <f>H1276+H1277+H1278+H1279+H1280+H1281+H1282</f>
        <v>7348.6394203572963</v>
      </c>
      <c r="H1283" s="418">
        <f>ROUND(G1283,15)</f>
        <v>7348.6394203573</v>
      </c>
      <c r="I1283" s="520"/>
    </row>
    <row r="1284" spans="1:9" ht="15.75" thickTop="1" thickBot="1">
      <c r="A1284" s="272" t="s">
        <v>1052</v>
      </c>
      <c r="B1284" s="273"/>
      <c r="C1284" s="273" t="s">
        <v>38</v>
      </c>
      <c r="D1284" s="274"/>
      <c r="E1284" s="353" t="s">
        <v>931</v>
      </c>
      <c r="F1284" s="276"/>
      <c r="G1284" s="277">
        <f>G1290</f>
        <v>17063.641131014545</v>
      </c>
      <c r="H1284" s="278">
        <f>ROUND(G1284,15)</f>
        <v>17063.641131014501</v>
      </c>
      <c r="I1284" s="520"/>
    </row>
    <row r="1285" spans="1:9" ht="26.1" customHeight="1" thickTop="1" thickBot="1">
      <c r="A1285" s="90">
        <v>91924</v>
      </c>
      <c r="B1285" s="91" t="s">
        <v>45</v>
      </c>
      <c r="C1285" s="54" t="s">
        <v>46</v>
      </c>
      <c r="D1285" s="54" t="s">
        <v>68</v>
      </c>
      <c r="E1285" s="55" t="s">
        <v>932</v>
      </c>
      <c r="F1285" s="436">
        <f>ROUND(1368.6,15)</f>
        <v>1368.6</v>
      </c>
      <c r="G1285" s="437">
        <f t="shared" ref="G1285:G1289" si="216">I1285*(100%-$I$14)</f>
        <v>2.3496944577000027</v>
      </c>
      <c r="H1285" s="438">
        <f>ROUND(F1285*G1285,15)</f>
        <v>3215.7918348082198</v>
      </c>
      <c r="I1285" s="520">
        <v>2.82</v>
      </c>
    </row>
    <row r="1286" spans="1:9" ht="26.1" customHeight="1" thickBot="1">
      <c r="A1286" s="92">
        <v>91926</v>
      </c>
      <c r="B1286" s="93" t="s">
        <v>45</v>
      </c>
      <c r="C1286" s="58" t="s">
        <v>46</v>
      </c>
      <c r="D1286" s="58" t="s">
        <v>68</v>
      </c>
      <c r="E1286" s="59" t="s">
        <v>933</v>
      </c>
      <c r="F1286" s="437">
        <f>ROUND(1719.4,15)</f>
        <v>1719.4</v>
      </c>
      <c r="G1286" s="437">
        <f t="shared" si="216"/>
        <v>3.4495514379000038</v>
      </c>
      <c r="H1286" s="439">
        <f>ROUND(F1286*G1286,15)</f>
        <v>5931.1587423252704</v>
      </c>
      <c r="I1286" s="520">
        <v>4.1399999999999997</v>
      </c>
    </row>
    <row r="1287" spans="1:9" ht="26.1" customHeight="1" thickBot="1">
      <c r="A1287" s="92">
        <v>91928</v>
      </c>
      <c r="B1287" s="93" t="s">
        <v>45</v>
      </c>
      <c r="C1287" s="58" t="s">
        <v>46</v>
      </c>
      <c r="D1287" s="58" t="s">
        <v>68</v>
      </c>
      <c r="E1287" s="59" t="s">
        <v>934</v>
      </c>
      <c r="F1287" s="437">
        <f>ROUND(189.3,15)</f>
        <v>189.3</v>
      </c>
      <c r="G1287" s="437">
        <f t="shared" si="216"/>
        <v>5.6909266475500067</v>
      </c>
      <c r="H1287" s="439">
        <f>ROUND(F1287*G1287,15)</f>
        <v>1077.2924143812199</v>
      </c>
      <c r="I1287" s="520">
        <v>6.83</v>
      </c>
    </row>
    <row r="1288" spans="1:9" ht="26.1" customHeight="1" thickBot="1">
      <c r="A1288" s="92">
        <v>91930</v>
      </c>
      <c r="B1288" s="93" t="s">
        <v>45</v>
      </c>
      <c r="C1288" s="58" t="s">
        <v>46</v>
      </c>
      <c r="D1288" s="58" t="s">
        <v>68</v>
      </c>
      <c r="E1288" s="59" t="s">
        <v>935</v>
      </c>
      <c r="F1288" s="437">
        <f>ROUND(868.8,15)</f>
        <v>868.8</v>
      </c>
      <c r="G1288" s="437">
        <f t="shared" si="216"/>
        <v>7.8323148590000091</v>
      </c>
      <c r="H1288" s="439">
        <f>ROUND(F1288*G1288,15)</f>
        <v>6804.7151494992104</v>
      </c>
      <c r="I1288" s="520">
        <v>9.4</v>
      </c>
    </row>
    <row r="1289" spans="1:9" ht="26.1" customHeight="1" thickBot="1">
      <c r="A1289" s="96">
        <v>91933</v>
      </c>
      <c r="B1289" s="97" t="s">
        <v>45</v>
      </c>
      <c r="C1289" s="60" t="s">
        <v>46</v>
      </c>
      <c r="D1289" s="60" t="s">
        <v>68</v>
      </c>
      <c r="E1289" s="61" t="s">
        <v>936</v>
      </c>
      <c r="F1289" s="442">
        <f>ROUND(2.5,15)</f>
        <v>2.5</v>
      </c>
      <c r="G1289" s="437">
        <f t="shared" si="216"/>
        <v>13.873196000250015</v>
      </c>
      <c r="H1289" s="443">
        <f>ROUND(F1289*G1289,15)</f>
        <v>34.682990000624997</v>
      </c>
      <c r="I1289" s="520">
        <v>16.649999999999999</v>
      </c>
    </row>
    <row r="1290" spans="1:9" ht="15.75" thickTop="1" thickBot="1">
      <c r="A1290" s="51"/>
      <c r="B1290" s="52"/>
      <c r="C1290" s="52"/>
      <c r="D1290" s="136"/>
      <c r="E1290" s="435" t="s">
        <v>1052</v>
      </c>
      <c r="F1290" s="416"/>
      <c r="G1290" s="417">
        <f>H1285+H1286+H1287+H1288+H1289</f>
        <v>17063.641131014545</v>
      </c>
      <c r="H1290" s="418">
        <f>ROUND(G1290,15)</f>
        <v>17063.641131014501</v>
      </c>
      <c r="I1290" s="520"/>
    </row>
    <row r="1291" spans="1:9" ht="15.75" thickTop="1" thickBot="1">
      <c r="A1291" s="272" t="s">
        <v>1053</v>
      </c>
      <c r="B1291" s="273"/>
      <c r="C1291" s="273" t="s">
        <v>38</v>
      </c>
      <c r="D1291" s="274"/>
      <c r="E1291" s="353" t="s">
        <v>940</v>
      </c>
      <c r="F1291" s="276"/>
      <c r="G1291" s="277">
        <f>G1297</f>
        <v>4789.410542779402</v>
      </c>
      <c r="H1291" s="278">
        <f>ROUND(G1291,15)</f>
        <v>4789.4105427794002</v>
      </c>
      <c r="I1291" s="520"/>
    </row>
    <row r="1292" spans="1:9" ht="26.1" customHeight="1" thickTop="1" thickBot="1">
      <c r="A1292" s="90">
        <v>97608</v>
      </c>
      <c r="B1292" s="91" t="s">
        <v>45</v>
      </c>
      <c r="C1292" s="54" t="s">
        <v>46</v>
      </c>
      <c r="D1292" s="54" t="s">
        <v>47</v>
      </c>
      <c r="E1292" s="55" t="s">
        <v>951</v>
      </c>
      <c r="F1292" s="436">
        <f>ROUND(1,15)</f>
        <v>1</v>
      </c>
      <c r="G1292" s="437">
        <f t="shared" ref="G1292:G1296" si="217">I1292*(100%-$I$14)</f>
        <v>62.650186622150073</v>
      </c>
      <c r="H1292" s="438">
        <f>ROUND(F1292*G1292,15)</f>
        <v>62.650186622150102</v>
      </c>
      <c r="I1292" s="520">
        <v>75.19</v>
      </c>
    </row>
    <row r="1293" spans="1:9" ht="36" customHeight="1" thickBot="1">
      <c r="A1293" s="92" t="s">
        <v>1054</v>
      </c>
      <c r="B1293" s="93" t="s">
        <v>148</v>
      </c>
      <c r="C1293" s="58" t="s">
        <v>46</v>
      </c>
      <c r="D1293" s="58" t="s">
        <v>47</v>
      </c>
      <c r="E1293" s="59" t="s">
        <v>1055</v>
      </c>
      <c r="F1293" s="437">
        <f>ROUND(6,15)</f>
        <v>6</v>
      </c>
      <c r="G1293" s="437">
        <f t="shared" si="217"/>
        <v>212.54736142365024</v>
      </c>
      <c r="H1293" s="439">
        <f>ROUND(F1293*G1293,15)</f>
        <v>1275.2841685419</v>
      </c>
      <c r="I1293" s="520">
        <v>255.09</v>
      </c>
    </row>
    <row r="1294" spans="1:9" ht="26.1" customHeight="1" thickBot="1">
      <c r="A1294" s="92" t="s">
        <v>1056</v>
      </c>
      <c r="B1294" s="93" t="s">
        <v>148</v>
      </c>
      <c r="C1294" s="58" t="s">
        <v>46</v>
      </c>
      <c r="D1294" s="58" t="s">
        <v>47</v>
      </c>
      <c r="E1294" s="59" t="s">
        <v>1057</v>
      </c>
      <c r="F1294" s="437">
        <f>ROUND(2,15)</f>
        <v>2</v>
      </c>
      <c r="G1294" s="437">
        <f t="shared" si="217"/>
        <v>223.16264773255025</v>
      </c>
      <c r="H1294" s="439">
        <f>ROUND(F1294*G1294,15)</f>
        <v>446.32529546510102</v>
      </c>
      <c r="I1294" s="520">
        <v>267.83</v>
      </c>
    </row>
    <row r="1295" spans="1:9" ht="36" customHeight="1" thickBot="1">
      <c r="A1295" s="96" t="s">
        <v>1058</v>
      </c>
      <c r="B1295" s="97" t="s">
        <v>148</v>
      </c>
      <c r="C1295" s="60" t="s">
        <v>46</v>
      </c>
      <c r="D1295" s="60" t="s">
        <v>47</v>
      </c>
      <c r="E1295" s="61" t="s">
        <v>1059</v>
      </c>
      <c r="F1295" s="442">
        <f>ROUND(24,15)</f>
        <v>24</v>
      </c>
      <c r="G1295" s="442">
        <f t="shared" si="217"/>
        <v>95.529244530250111</v>
      </c>
      <c r="H1295" s="443">
        <f>ROUND(F1295*G1295,15)</f>
        <v>2292.7018687260002</v>
      </c>
      <c r="I1295" s="520">
        <v>114.65</v>
      </c>
    </row>
    <row r="1296" spans="1:9" ht="36" customHeight="1" thickTop="1" thickBot="1">
      <c r="A1296" s="98" t="s">
        <v>1060</v>
      </c>
      <c r="B1296" s="99" t="s">
        <v>148</v>
      </c>
      <c r="C1296" s="70" t="s">
        <v>46</v>
      </c>
      <c r="D1296" s="70" t="s">
        <v>47</v>
      </c>
      <c r="E1296" s="71" t="s">
        <v>1061</v>
      </c>
      <c r="F1296" s="444">
        <f>ROUND(7,15)</f>
        <v>7</v>
      </c>
      <c r="G1296" s="444">
        <f t="shared" si="217"/>
        <v>101.77843191775013</v>
      </c>
      <c r="H1296" s="445">
        <f>ROUND(F1296*G1296,15)</f>
        <v>712.44902342425098</v>
      </c>
      <c r="I1296" s="520">
        <v>122.15</v>
      </c>
    </row>
    <row r="1297" spans="1:9" ht="15.75" thickTop="1" thickBot="1">
      <c r="A1297" s="51"/>
      <c r="B1297" s="52"/>
      <c r="C1297" s="52"/>
      <c r="D1297" s="136"/>
      <c r="E1297" s="524" t="s">
        <v>1053</v>
      </c>
      <c r="F1297" s="387"/>
      <c r="G1297" s="388">
        <f>H1292+H1293+H1294+H1295+H1296</f>
        <v>4789.410542779402</v>
      </c>
      <c r="H1297" s="389">
        <f>ROUND(G1297,15)</f>
        <v>4789.4105427794002</v>
      </c>
      <c r="I1297" s="520"/>
    </row>
    <row r="1298" spans="1:9" ht="15.75" thickTop="1" thickBot="1">
      <c r="A1298" s="272" t="s">
        <v>1062</v>
      </c>
      <c r="B1298" s="273"/>
      <c r="C1298" s="273" t="s">
        <v>38</v>
      </c>
      <c r="D1298" s="274"/>
      <c r="E1298" s="353" t="s">
        <v>958</v>
      </c>
      <c r="F1298" s="276"/>
      <c r="G1298" s="277">
        <f>G1310</f>
        <v>2097.5022514900502</v>
      </c>
      <c r="H1298" s="278">
        <f>ROUND(G1298,15)</f>
        <v>2097.5022514900502</v>
      </c>
      <c r="I1298" s="520"/>
    </row>
    <row r="1299" spans="1:9" ht="26.1" customHeight="1" thickTop="1" thickBot="1">
      <c r="A1299" s="90">
        <v>91953</v>
      </c>
      <c r="B1299" s="91" t="s">
        <v>45</v>
      </c>
      <c r="C1299" s="54" t="s">
        <v>46</v>
      </c>
      <c r="D1299" s="54" t="s">
        <v>47</v>
      </c>
      <c r="E1299" s="55" t="s">
        <v>959</v>
      </c>
      <c r="F1299" s="436">
        <f>ROUND(11,15)</f>
        <v>11</v>
      </c>
      <c r="G1299" s="437">
        <f t="shared" ref="G1299:G1309" si="218">I1299*(100%-$I$14)</f>
        <v>19.322487402150024</v>
      </c>
      <c r="H1299" s="438">
        <f t="shared" ref="H1299:H1309" si="219">ROUND(F1299*G1299,15)</f>
        <v>212.54736142364999</v>
      </c>
      <c r="I1299" s="520">
        <v>23.19</v>
      </c>
    </row>
    <row r="1300" spans="1:9" ht="26.1" customHeight="1" thickBot="1">
      <c r="A1300" s="92">
        <v>91955</v>
      </c>
      <c r="B1300" s="93" t="s">
        <v>45</v>
      </c>
      <c r="C1300" s="58" t="s">
        <v>46</v>
      </c>
      <c r="D1300" s="58" t="s">
        <v>47</v>
      </c>
      <c r="E1300" s="59" t="s">
        <v>963</v>
      </c>
      <c r="F1300" s="437">
        <f>ROUND(10,15)</f>
        <v>10</v>
      </c>
      <c r="G1300" s="437">
        <f t="shared" si="218"/>
        <v>23.880228070100028</v>
      </c>
      <c r="H1300" s="439">
        <f t="shared" si="219"/>
        <v>238.802280701</v>
      </c>
      <c r="I1300" s="520">
        <v>28.66</v>
      </c>
    </row>
    <row r="1301" spans="1:9" ht="26.1" customHeight="1" thickBot="1">
      <c r="A1301" s="92">
        <v>91961</v>
      </c>
      <c r="B1301" s="93" t="s">
        <v>45</v>
      </c>
      <c r="C1301" s="58" t="s">
        <v>46</v>
      </c>
      <c r="D1301" s="58" t="s">
        <v>47</v>
      </c>
      <c r="E1301" s="59" t="s">
        <v>964</v>
      </c>
      <c r="F1301" s="437">
        <f>ROUND(4,15)</f>
        <v>4</v>
      </c>
      <c r="G1301" s="437">
        <f t="shared" si="218"/>
        <v>39.669841535850047</v>
      </c>
      <c r="H1301" s="439">
        <f t="shared" si="219"/>
        <v>158.67936614339999</v>
      </c>
      <c r="I1301" s="520">
        <v>47.61</v>
      </c>
    </row>
    <row r="1302" spans="1:9" ht="26.1" customHeight="1" thickBot="1">
      <c r="A1302" s="92">
        <v>91979</v>
      </c>
      <c r="B1302" s="93" t="s">
        <v>45</v>
      </c>
      <c r="C1302" s="58" t="s">
        <v>46</v>
      </c>
      <c r="D1302" s="58" t="s">
        <v>47</v>
      </c>
      <c r="E1302" s="59" t="s">
        <v>965</v>
      </c>
      <c r="F1302" s="437">
        <f>ROUND(2,15)</f>
        <v>2</v>
      </c>
      <c r="G1302" s="437">
        <f t="shared" si="218"/>
        <v>34.82880437300004</v>
      </c>
      <c r="H1302" s="439">
        <f t="shared" si="219"/>
        <v>69.657608746000093</v>
      </c>
      <c r="I1302" s="520">
        <v>41.8</v>
      </c>
    </row>
    <row r="1303" spans="1:9" ht="26.1" customHeight="1" thickBot="1">
      <c r="A1303" s="92" t="s">
        <v>1063</v>
      </c>
      <c r="B1303" s="93" t="s">
        <v>148</v>
      </c>
      <c r="C1303" s="58" t="s">
        <v>46</v>
      </c>
      <c r="D1303" s="58" t="s">
        <v>47</v>
      </c>
      <c r="E1303" s="59" t="s">
        <v>1064</v>
      </c>
      <c r="F1303" s="437">
        <f>ROUND(2,15)</f>
        <v>2</v>
      </c>
      <c r="G1303" s="437">
        <f t="shared" si="218"/>
        <v>26.838176766850033</v>
      </c>
      <c r="H1303" s="439">
        <f t="shared" si="219"/>
        <v>53.676353533700102</v>
      </c>
      <c r="I1303" s="520">
        <v>32.21</v>
      </c>
    </row>
    <row r="1304" spans="1:9" ht="26.1" customHeight="1" thickBot="1">
      <c r="A1304" s="92">
        <v>92000</v>
      </c>
      <c r="B1304" s="93" t="s">
        <v>45</v>
      </c>
      <c r="C1304" s="58" t="s">
        <v>46</v>
      </c>
      <c r="D1304" s="58" t="s">
        <v>47</v>
      </c>
      <c r="E1304" s="59" t="s">
        <v>966</v>
      </c>
      <c r="F1304" s="437">
        <f>ROUND(15,15)</f>
        <v>15</v>
      </c>
      <c r="G1304" s="437">
        <f t="shared" si="218"/>
        <v>20.422344382350026</v>
      </c>
      <c r="H1304" s="439">
        <f t="shared" si="219"/>
        <v>306.33516573524997</v>
      </c>
      <c r="I1304" s="520">
        <v>24.51</v>
      </c>
    </row>
    <row r="1305" spans="1:9" ht="26.1" customHeight="1" thickBot="1">
      <c r="A1305" s="92">
        <v>91996</v>
      </c>
      <c r="B1305" s="93" t="s">
        <v>45</v>
      </c>
      <c r="C1305" s="58" t="s">
        <v>46</v>
      </c>
      <c r="D1305" s="58" t="s">
        <v>47</v>
      </c>
      <c r="E1305" s="59" t="s">
        <v>967</v>
      </c>
      <c r="F1305" s="437">
        <f>ROUND(13,15)</f>
        <v>13</v>
      </c>
      <c r="G1305" s="437">
        <f t="shared" si="218"/>
        <v>22.963680586600027</v>
      </c>
      <c r="H1305" s="439">
        <f t="shared" si="219"/>
        <v>298.52784762580001</v>
      </c>
      <c r="I1305" s="520">
        <v>27.56</v>
      </c>
    </row>
    <row r="1306" spans="1:9" ht="26.1" customHeight="1" thickBot="1">
      <c r="A1306" s="92">
        <v>91992</v>
      </c>
      <c r="B1306" s="93" t="s">
        <v>45</v>
      </c>
      <c r="C1306" s="58" t="s">
        <v>46</v>
      </c>
      <c r="D1306" s="58" t="s">
        <v>47</v>
      </c>
      <c r="E1306" s="59" t="s">
        <v>968</v>
      </c>
      <c r="F1306" s="437">
        <f>ROUND(5,15)</f>
        <v>5</v>
      </c>
      <c r="G1306" s="437">
        <f t="shared" si="218"/>
        <v>29.496164469000032</v>
      </c>
      <c r="H1306" s="439">
        <f t="shared" si="219"/>
        <v>147.48082234500001</v>
      </c>
      <c r="I1306" s="520">
        <v>35.4</v>
      </c>
    </row>
    <row r="1307" spans="1:9" ht="26.1" customHeight="1" thickBot="1">
      <c r="A1307" s="92">
        <v>91997</v>
      </c>
      <c r="B1307" s="93" t="s">
        <v>45</v>
      </c>
      <c r="C1307" s="58" t="s">
        <v>46</v>
      </c>
      <c r="D1307" s="58" t="s">
        <v>47</v>
      </c>
      <c r="E1307" s="59" t="s">
        <v>969</v>
      </c>
      <c r="F1307" s="437">
        <f>ROUND(15,15)</f>
        <v>15</v>
      </c>
      <c r="G1307" s="437">
        <f t="shared" si="218"/>
        <v>24.730117554800028</v>
      </c>
      <c r="H1307" s="439">
        <f t="shared" si="219"/>
        <v>370.95176332199998</v>
      </c>
      <c r="I1307" s="520">
        <v>29.68</v>
      </c>
    </row>
    <row r="1308" spans="1:9" ht="26.1" customHeight="1" thickBot="1">
      <c r="A1308" s="92">
        <v>91941</v>
      </c>
      <c r="B1308" s="93" t="s">
        <v>45</v>
      </c>
      <c r="C1308" s="58" t="s">
        <v>46</v>
      </c>
      <c r="D1308" s="58" t="s">
        <v>47</v>
      </c>
      <c r="E1308" s="59" t="s">
        <v>971</v>
      </c>
      <c r="F1308" s="437">
        <f>ROUND(15,15)</f>
        <v>15</v>
      </c>
      <c r="G1308" s="437">
        <f t="shared" si="218"/>
        <v>6.9574286247500075</v>
      </c>
      <c r="H1308" s="439">
        <f t="shared" si="219"/>
        <v>104.36142937125</v>
      </c>
      <c r="I1308" s="520">
        <v>8.35</v>
      </c>
    </row>
    <row r="1309" spans="1:9" ht="26.1" customHeight="1" thickBot="1">
      <c r="A1309" s="96">
        <v>91940</v>
      </c>
      <c r="B1309" s="97" t="s">
        <v>45</v>
      </c>
      <c r="C1309" s="60" t="s">
        <v>46</v>
      </c>
      <c r="D1309" s="60" t="s">
        <v>47</v>
      </c>
      <c r="E1309" s="61" t="s">
        <v>970</v>
      </c>
      <c r="F1309" s="442">
        <f>ROUND(13,15)</f>
        <v>13</v>
      </c>
      <c r="G1309" s="437">
        <f t="shared" si="218"/>
        <v>10.498634811000011</v>
      </c>
      <c r="H1309" s="443">
        <f t="shared" si="219"/>
        <v>136.48225254299999</v>
      </c>
      <c r="I1309" s="520">
        <v>12.6</v>
      </c>
    </row>
    <row r="1310" spans="1:9" ht="16.5" thickTop="1" thickBot="1">
      <c r="A1310" s="51"/>
      <c r="B1310" s="52"/>
      <c r="C1310" s="52"/>
      <c r="D1310" s="136"/>
      <c r="E1310" s="524" t="s">
        <v>1062</v>
      </c>
      <c r="F1310" s="550"/>
      <c r="G1310" s="551">
        <f>H1299+H1300+H1301+H1302+H1303+H1304+H1305+H1306+H1307+H1308+H1309</f>
        <v>2097.5022514900502</v>
      </c>
      <c r="H1310" s="552">
        <f>ROUND(G1310,15)</f>
        <v>2097.5022514900502</v>
      </c>
      <c r="I1310" s="520"/>
    </row>
    <row r="1311" spans="1:9" ht="15.75" thickTop="1" thickBot="1">
      <c r="A1311" s="272" t="s">
        <v>1065</v>
      </c>
      <c r="B1311" s="273"/>
      <c r="C1311" s="273" t="s">
        <v>38</v>
      </c>
      <c r="D1311" s="274"/>
      <c r="E1311" s="353" t="s">
        <v>973</v>
      </c>
      <c r="F1311" s="276"/>
      <c r="G1311" s="277">
        <f>G1313</f>
        <v>2878.6215120530801</v>
      </c>
      <c r="H1311" s="278">
        <f>ROUND(G1311,15)</f>
        <v>2878.6215120530801</v>
      </c>
      <c r="I1311" s="520"/>
    </row>
    <row r="1312" spans="1:9" ht="26.1" customHeight="1" thickTop="1" thickBot="1">
      <c r="A1312" s="68" t="s">
        <v>974</v>
      </c>
      <c r="B1312" s="69" t="s">
        <v>57</v>
      </c>
      <c r="C1312" s="70" t="s">
        <v>46</v>
      </c>
      <c r="D1312" s="70" t="s">
        <v>68</v>
      </c>
      <c r="E1312" s="71" t="s">
        <v>975</v>
      </c>
      <c r="F1312" s="444">
        <f>ROUND(71.9,15)</f>
        <v>71.900000000000006</v>
      </c>
      <c r="G1312" s="437">
        <f t="shared" ref="G1312" si="220">I1312*(100%-$I$14)</f>
        <v>40.036460529250043</v>
      </c>
      <c r="H1312" s="445">
        <f>ROUND(F1312*G1312,15)</f>
        <v>2878.6215120530801</v>
      </c>
      <c r="I1312" s="520">
        <v>48.05</v>
      </c>
    </row>
    <row r="1313" spans="1:9" ht="15.75" thickTop="1" thickBot="1">
      <c r="A1313" s="51"/>
      <c r="B1313" s="52"/>
      <c r="C1313" s="52"/>
      <c r="D1313" s="136"/>
      <c r="E1313" s="524" t="s">
        <v>1065</v>
      </c>
      <c r="F1313" s="387"/>
      <c r="G1313" s="388">
        <f>H1312</f>
        <v>2878.6215120530801</v>
      </c>
      <c r="H1313" s="389">
        <f>ROUND(G1313,15)</f>
        <v>2878.6215120530801</v>
      </c>
      <c r="I1313" s="520"/>
    </row>
    <row r="1314" spans="1:9" ht="15.75" thickTop="1" thickBot="1">
      <c r="A1314" s="272" t="s">
        <v>1066</v>
      </c>
      <c r="B1314" s="273"/>
      <c r="C1314" s="273" t="s">
        <v>38</v>
      </c>
      <c r="D1314" s="274"/>
      <c r="E1314" s="353" t="s">
        <v>977</v>
      </c>
      <c r="F1314" s="276"/>
      <c r="G1314" s="277">
        <f>G1320</f>
        <v>5975.5233900391013</v>
      </c>
      <c r="H1314" s="278">
        <f>ROUND(G1314,15)</f>
        <v>5975.5233900391004</v>
      </c>
      <c r="I1314" s="520"/>
    </row>
    <row r="1315" spans="1:9" ht="15.75" thickTop="1" thickBot="1">
      <c r="A1315" s="100" t="s">
        <v>978</v>
      </c>
      <c r="B1315" s="101" t="s">
        <v>410</v>
      </c>
      <c r="C1315" s="64" t="s">
        <v>46</v>
      </c>
      <c r="D1315" s="64" t="s">
        <v>47</v>
      </c>
      <c r="E1315" s="65" t="s">
        <v>979</v>
      </c>
      <c r="F1315" s="446">
        <f>ROUND(196.47,15)</f>
        <v>196.47</v>
      </c>
      <c r="G1315" s="440">
        <f t="shared" ref="G1315:G1319" si="221">I1315*(100%-$I$14)</f>
        <v>18.514259166700022</v>
      </c>
      <c r="H1315" s="447">
        <f>ROUND(F1315*G1315,15)</f>
        <v>3637.4964984815501</v>
      </c>
      <c r="I1315" s="520">
        <v>22.22</v>
      </c>
    </row>
    <row r="1316" spans="1:9" ht="15" thickBot="1">
      <c r="A1316" s="94" t="s">
        <v>980</v>
      </c>
      <c r="B1316" s="95" t="s">
        <v>410</v>
      </c>
      <c r="C1316" s="74" t="s">
        <v>46</v>
      </c>
      <c r="D1316" s="74" t="s">
        <v>47</v>
      </c>
      <c r="E1316" s="78" t="s">
        <v>981</v>
      </c>
      <c r="F1316" s="440">
        <f>ROUND(85.21,15)</f>
        <v>85.21</v>
      </c>
      <c r="G1316" s="440">
        <f t="shared" si="221"/>
        <v>19.589119397350025</v>
      </c>
      <c r="H1316" s="441">
        <f>ROUND(F1316*G1316,15)</f>
        <v>1669.1888638482001</v>
      </c>
      <c r="I1316" s="520">
        <v>23.51</v>
      </c>
    </row>
    <row r="1317" spans="1:9" ht="26.1" customHeight="1" thickBot="1">
      <c r="A1317" s="92">
        <v>98111</v>
      </c>
      <c r="B1317" s="93" t="s">
        <v>45</v>
      </c>
      <c r="C1317" s="58" t="s">
        <v>46</v>
      </c>
      <c r="D1317" s="58" t="s">
        <v>47</v>
      </c>
      <c r="E1317" s="59" t="s">
        <v>982</v>
      </c>
      <c r="F1317" s="437">
        <f>ROUND(1,15)</f>
        <v>1</v>
      </c>
      <c r="G1317" s="437">
        <f t="shared" si="221"/>
        <v>22.388755346950028</v>
      </c>
      <c r="H1317" s="439">
        <f>ROUND(F1317*G1317,15)</f>
        <v>22.388755346949999</v>
      </c>
      <c r="I1317" s="520">
        <v>26.87</v>
      </c>
    </row>
    <row r="1318" spans="1:9" ht="26.1" customHeight="1" thickBot="1">
      <c r="A1318" s="92" t="s">
        <v>983</v>
      </c>
      <c r="B1318" s="93" t="s">
        <v>57</v>
      </c>
      <c r="C1318" s="58" t="s">
        <v>46</v>
      </c>
      <c r="D1318" s="58" t="s">
        <v>47</v>
      </c>
      <c r="E1318" s="59" t="s">
        <v>984</v>
      </c>
      <c r="F1318" s="437">
        <f>ROUND(24,15)</f>
        <v>24</v>
      </c>
      <c r="G1318" s="437">
        <f t="shared" si="221"/>
        <v>18.672571913850021</v>
      </c>
      <c r="H1318" s="439">
        <f>ROUND(F1318*G1318,15)</f>
        <v>448.14172593240102</v>
      </c>
      <c r="I1318" s="520">
        <v>22.41</v>
      </c>
    </row>
    <row r="1319" spans="1:9" ht="15" thickBot="1">
      <c r="A1319" s="102">
        <v>96989</v>
      </c>
      <c r="B1319" s="103" t="s">
        <v>45</v>
      </c>
      <c r="C1319" s="66" t="s">
        <v>46</v>
      </c>
      <c r="D1319" s="66" t="s">
        <v>47</v>
      </c>
      <c r="E1319" s="67" t="s">
        <v>985</v>
      </c>
      <c r="F1319" s="450">
        <f>ROUND(2,15)</f>
        <v>2</v>
      </c>
      <c r="G1319" s="440">
        <f t="shared" si="221"/>
        <v>99.153773215000115</v>
      </c>
      <c r="H1319" s="451">
        <f>ROUND(F1319*G1319,15)</f>
        <v>198.30754643</v>
      </c>
      <c r="I1319" s="520">
        <v>119</v>
      </c>
    </row>
    <row r="1320" spans="1:9" ht="15.75" thickTop="1" thickBot="1">
      <c r="A1320" s="85"/>
      <c r="B1320" s="86"/>
      <c r="C1320" s="86"/>
      <c r="D1320" s="112"/>
      <c r="E1320" s="394" t="s">
        <v>1066</v>
      </c>
      <c r="F1320" s="395"/>
      <c r="G1320" s="396">
        <f>H1315+H1316+H1317+H1318+H1319</f>
        <v>5975.5233900391013</v>
      </c>
      <c r="H1320" s="397">
        <f t="shared" ref="H1320:H1325" si="222">ROUND(G1320,15)</f>
        <v>5975.5233900391004</v>
      </c>
      <c r="I1320" s="520"/>
    </row>
    <row r="1321" spans="1:9" ht="15" thickBot="1">
      <c r="A1321" s="75"/>
      <c r="B1321" s="76"/>
      <c r="C1321" s="76"/>
      <c r="D1321" s="113"/>
      <c r="E1321" s="481" t="s">
        <v>1043</v>
      </c>
      <c r="F1321" s="482"/>
      <c r="G1321" s="483">
        <f>H1274+H1283+H1290+H1297+H1310+H1313+H1320</f>
        <v>42827.582169340785</v>
      </c>
      <c r="H1321" s="484">
        <f t="shared" si="222"/>
        <v>42827.5821693408</v>
      </c>
      <c r="I1321" s="520"/>
    </row>
    <row r="1322" spans="1:9" ht="15" thickBot="1">
      <c r="A1322" s="114"/>
      <c r="B1322" s="115"/>
      <c r="C1322" s="115"/>
      <c r="D1322" s="116"/>
      <c r="E1322" s="485" t="s">
        <v>1042</v>
      </c>
      <c r="F1322" s="486"/>
      <c r="G1322" s="487">
        <f>H1321</f>
        <v>42827.5821693408</v>
      </c>
      <c r="H1322" s="488">
        <f t="shared" si="222"/>
        <v>42827.5821693408</v>
      </c>
      <c r="I1322" s="520"/>
    </row>
    <row r="1323" spans="1:9" ht="15.75" thickTop="1" thickBot="1">
      <c r="A1323" s="213" t="s">
        <v>1067</v>
      </c>
      <c r="B1323" s="214"/>
      <c r="C1323" s="214" t="s">
        <v>38</v>
      </c>
      <c r="D1323" s="215"/>
      <c r="E1323" s="234" t="s">
        <v>1068</v>
      </c>
      <c r="F1323" s="217"/>
      <c r="G1323" s="218">
        <f>G1399</f>
        <v>155920.57638236941</v>
      </c>
      <c r="H1323" s="219">
        <f t="shared" si="222"/>
        <v>155920.57638236901</v>
      </c>
      <c r="I1323" s="520"/>
    </row>
    <row r="1324" spans="1:9" ht="15" thickBot="1">
      <c r="A1324" s="258" t="s">
        <v>1069</v>
      </c>
      <c r="B1324" s="259"/>
      <c r="C1324" s="259" t="s">
        <v>38</v>
      </c>
      <c r="D1324" s="260"/>
      <c r="E1324" s="261" t="s">
        <v>1070</v>
      </c>
      <c r="F1324" s="262"/>
      <c r="G1324" s="263">
        <f>G1391</f>
        <v>112968.29501161139</v>
      </c>
      <c r="H1324" s="264">
        <f t="shared" si="222"/>
        <v>112968.295011611</v>
      </c>
      <c r="I1324" s="520"/>
    </row>
    <row r="1325" spans="1:9" ht="15" thickBot="1">
      <c r="A1325" s="265" t="s">
        <v>1071</v>
      </c>
      <c r="B1325" s="266"/>
      <c r="C1325" s="266" t="s">
        <v>38</v>
      </c>
      <c r="D1325" s="267"/>
      <c r="E1325" s="268" t="s">
        <v>1072</v>
      </c>
      <c r="F1325" s="269"/>
      <c r="G1325" s="270">
        <f>G1343</f>
        <v>18207.223425397387</v>
      </c>
      <c r="H1325" s="271">
        <f t="shared" si="222"/>
        <v>18207.223425397398</v>
      </c>
      <c r="I1325" s="520"/>
    </row>
    <row r="1326" spans="1:9" ht="15.75" thickTop="1" thickBot="1">
      <c r="A1326" s="100" t="s">
        <v>920</v>
      </c>
      <c r="B1326" s="101" t="s">
        <v>148</v>
      </c>
      <c r="C1326" s="64" t="s">
        <v>46</v>
      </c>
      <c r="D1326" s="64" t="s">
        <v>47</v>
      </c>
      <c r="E1326" s="65" t="s">
        <v>921</v>
      </c>
      <c r="F1326" s="446">
        <f>ROUND(99,15)</f>
        <v>99</v>
      </c>
      <c r="G1326" s="437">
        <f t="shared" ref="G1326:G1342" si="223">I1326*(100%-$I$14)</f>
        <v>5.932561893200007</v>
      </c>
      <c r="H1326" s="447">
        <f t="shared" ref="H1326:H1342" si="224">ROUND(F1326*G1326,15)</f>
        <v>587.32362742680095</v>
      </c>
      <c r="I1326" s="520">
        <v>7.12</v>
      </c>
    </row>
    <row r="1327" spans="1:9" ht="26.1" customHeight="1" thickBot="1">
      <c r="A1327" s="132">
        <v>93013</v>
      </c>
      <c r="B1327" s="133" t="s">
        <v>45</v>
      </c>
      <c r="C1327" s="134" t="s">
        <v>46</v>
      </c>
      <c r="D1327" s="134" t="s">
        <v>47</v>
      </c>
      <c r="E1327" s="135" t="s">
        <v>927</v>
      </c>
      <c r="F1327" s="457">
        <f>ROUND(19,15)</f>
        <v>19</v>
      </c>
      <c r="G1327" s="437">
        <f t="shared" si="223"/>
        <v>10.132015817600012</v>
      </c>
      <c r="H1327" s="517">
        <f t="shared" si="224"/>
        <v>192.50830053440001</v>
      </c>
      <c r="I1327" s="520">
        <v>12.16</v>
      </c>
    </row>
    <row r="1328" spans="1:9" ht="15" thickBot="1">
      <c r="A1328" s="94" t="s">
        <v>924</v>
      </c>
      <c r="B1328" s="95" t="s">
        <v>148</v>
      </c>
      <c r="C1328" s="74" t="s">
        <v>46</v>
      </c>
      <c r="D1328" s="74" t="s">
        <v>47</v>
      </c>
      <c r="E1328" s="78" t="s">
        <v>925</v>
      </c>
      <c r="F1328" s="440">
        <f>ROUND(6,15)</f>
        <v>6</v>
      </c>
      <c r="G1328" s="440">
        <f t="shared" si="223"/>
        <v>7.8239826091500095</v>
      </c>
      <c r="H1328" s="441">
        <f t="shared" si="224"/>
        <v>46.943895654900103</v>
      </c>
      <c r="I1328" s="520">
        <v>9.39</v>
      </c>
    </row>
    <row r="1329" spans="1:9" ht="26.1" customHeight="1" thickBot="1">
      <c r="A1329" s="181">
        <v>91874</v>
      </c>
      <c r="B1329" s="182" t="s">
        <v>45</v>
      </c>
      <c r="C1329" s="183" t="s">
        <v>46</v>
      </c>
      <c r="D1329" s="183" t="s">
        <v>47</v>
      </c>
      <c r="E1329" s="184" t="s">
        <v>1073</v>
      </c>
      <c r="F1329" s="456">
        <f>ROUND(3,15)</f>
        <v>3</v>
      </c>
      <c r="G1329" s="437">
        <f t="shared" si="223"/>
        <v>3.4078901886500037</v>
      </c>
      <c r="H1329" s="539">
        <f t="shared" si="224"/>
        <v>10.22367056595</v>
      </c>
      <c r="I1329" s="520">
        <v>4.09</v>
      </c>
    </row>
    <row r="1330" spans="1:9" ht="26.1" customHeight="1" thickBot="1">
      <c r="A1330" s="92">
        <v>93014</v>
      </c>
      <c r="B1330" s="93" t="s">
        <v>45</v>
      </c>
      <c r="C1330" s="58" t="s">
        <v>46</v>
      </c>
      <c r="D1330" s="58" t="s">
        <v>47</v>
      </c>
      <c r="E1330" s="59" t="s">
        <v>991</v>
      </c>
      <c r="F1330" s="437">
        <f>ROUND(11,15)</f>
        <v>11</v>
      </c>
      <c r="G1330" s="437">
        <f t="shared" si="223"/>
        <v>12.365058777400014</v>
      </c>
      <c r="H1330" s="439">
        <f t="shared" si="224"/>
        <v>136.01564655140001</v>
      </c>
      <c r="I1330" s="520">
        <v>14.84</v>
      </c>
    </row>
    <row r="1331" spans="1:9" ht="26.1" customHeight="1" thickBot="1">
      <c r="A1331" s="92">
        <v>93015</v>
      </c>
      <c r="B1331" s="93" t="s">
        <v>45</v>
      </c>
      <c r="C1331" s="58" t="s">
        <v>46</v>
      </c>
      <c r="D1331" s="58" t="s">
        <v>47</v>
      </c>
      <c r="E1331" s="59" t="s">
        <v>1074</v>
      </c>
      <c r="F1331" s="437">
        <f>ROUND(1,15)</f>
        <v>1</v>
      </c>
      <c r="G1331" s="437">
        <f t="shared" si="223"/>
        <v>18.280956170900023</v>
      </c>
      <c r="H1331" s="439">
        <f t="shared" si="224"/>
        <v>18.280956170900001</v>
      </c>
      <c r="I1331" s="520">
        <v>21.94</v>
      </c>
    </row>
    <row r="1332" spans="1:9" ht="26.1" customHeight="1" thickBot="1">
      <c r="A1332" s="92">
        <v>93016</v>
      </c>
      <c r="B1332" s="93" t="s">
        <v>45</v>
      </c>
      <c r="C1332" s="58" t="s">
        <v>46</v>
      </c>
      <c r="D1332" s="58" t="s">
        <v>47</v>
      </c>
      <c r="E1332" s="59" t="s">
        <v>929</v>
      </c>
      <c r="F1332" s="437">
        <f>ROUND(24,15)</f>
        <v>24</v>
      </c>
      <c r="G1332" s="437">
        <f t="shared" si="223"/>
        <v>22.063797602800026</v>
      </c>
      <c r="H1332" s="439">
        <f t="shared" si="224"/>
        <v>529.53114246720099</v>
      </c>
      <c r="I1332" s="520">
        <v>26.48</v>
      </c>
    </row>
    <row r="1333" spans="1:9" ht="26.1" customHeight="1" thickBot="1">
      <c r="A1333" s="132">
        <v>91875</v>
      </c>
      <c r="B1333" s="133" t="s">
        <v>45</v>
      </c>
      <c r="C1333" s="134" t="s">
        <v>46</v>
      </c>
      <c r="D1333" s="134" t="s">
        <v>47</v>
      </c>
      <c r="E1333" s="135" t="s">
        <v>1075</v>
      </c>
      <c r="F1333" s="457">
        <f>ROUND(11,15)</f>
        <v>11</v>
      </c>
      <c r="G1333" s="437">
        <f t="shared" si="223"/>
        <v>4.4994149190000057</v>
      </c>
      <c r="H1333" s="517">
        <f t="shared" si="224"/>
        <v>49.493564109000097</v>
      </c>
      <c r="I1333" s="520">
        <v>5.4</v>
      </c>
    </row>
    <row r="1334" spans="1:9" ht="15.95" customHeight="1" thickBot="1">
      <c r="A1334" s="94" t="s">
        <v>918</v>
      </c>
      <c r="B1334" s="95" t="s">
        <v>148</v>
      </c>
      <c r="C1334" s="74" t="s">
        <v>46</v>
      </c>
      <c r="D1334" s="74" t="s">
        <v>68</v>
      </c>
      <c r="E1334" s="78" t="s">
        <v>919</v>
      </c>
      <c r="F1334" s="440">
        <f>ROUND(640.2,15)</f>
        <v>640.20000000000005</v>
      </c>
      <c r="G1334" s="440">
        <f t="shared" si="223"/>
        <v>9.24046508365001</v>
      </c>
      <c r="H1334" s="440">
        <f t="shared" si="224"/>
        <v>5915.7457465527395</v>
      </c>
      <c r="I1334" s="520">
        <v>11.09</v>
      </c>
    </row>
    <row r="1335" spans="1:9" ht="15.95" customHeight="1" thickBot="1">
      <c r="A1335" s="185">
        <v>93008</v>
      </c>
      <c r="B1335" s="186" t="s">
        <v>45</v>
      </c>
      <c r="C1335" s="168" t="s">
        <v>46</v>
      </c>
      <c r="D1335" s="168" t="s">
        <v>68</v>
      </c>
      <c r="E1335" s="187" t="s">
        <v>926</v>
      </c>
      <c r="F1335" s="540">
        <f>ROUND(121.48,15)</f>
        <v>121.48</v>
      </c>
      <c r="G1335" s="440">
        <f t="shared" si="223"/>
        <v>11.581827291500014</v>
      </c>
      <c r="H1335" s="541">
        <f t="shared" si="224"/>
        <v>1406.96037937142</v>
      </c>
      <c r="I1335" s="520">
        <v>13.9</v>
      </c>
    </row>
    <row r="1336" spans="1:9" ht="15.95" customHeight="1" thickBot="1">
      <c r="A1336" s="94" t="s">
        <v>922</v>
      </c>
      <c r="B1336" s="95" t="s">
        <v>148</v>
      </c>
      <c r="C1336" s="74" t="s">
        <v>46</v>
      </c>
      <c r="D1336" s="74" t="s">
        <v>68</v>
      </c>
      <c r="E1336" s="78" t="s">
        <v>923</v>
      </c>
      <c r="F1336" s="440">
        <f>ROUND(49.42,15)</f>
        <v>49.42</v>
      </c>
      <c r="G1336" s="440">
        <f t="shared" si="223"/>
        <v>11.823462537150013</v>
      </c>
      <c r="H1336" s="441">
        <f t="shared" si="224"/>
        <v>584.31551858595401</v>
      </c>
      <c r="I1336" s="520">
        <v>14.19</v>
      </c>
    </row>
    <row r="1337" spans="1:9" ht="15.95" customHeight="1" thickBot="1">
      <c r="A1337" s="94" t="s">
        <v>1076</v>
      </c>
      <c r="B1337" s="95" t="s">
        <v>148</v>
      </c>
      <c r="C1337" s="74" t="s">
        <v>46</v>
      </c>
      <c r="D1337" s="74" t="s">
        <v>68</v>
      </c>
      <c r="E1337" s="78" t="s">
        <v>1077</v>
      </c>
      <c r="F1337" s="440">
        <f>ROUND(30.98,15)</f>
        <v>30.98</v>
      </c>
      <c r="G1337" s="440">
        <f t="shared" si="223"/>
        <v>5.4576236517500059</v>
      </c>
      <c r="H1337" s="441">
        <f t="shared" si="224"/>
        <v>169.07718073121501</v>
      </c>
      <c r="I1337" s="520">
        <v>6.55</v>
      </c>
    </row>
    <row r="1338" spans="1:9" ht="15.95" customHeight="1" thickBot="1">
      <c r="A1338" s="94">
        <v>93009</v>
      </c>
      <c r="B1338" s="95" t="s">
        <v>45</v>
      </c>
      <c r="C1338" s="74" t="s">
        <v>46</v>
      </c>
      <c r="D1338" s="74" t="s">
        <v>68</v>
      </c>
      <c r="E1338" s="78" t="s">
        <v>990</v>
      </c>
      <c r="F1338" s="440">
        <f>ROUND(97.16,15)</f>
        <v>97.16</v>
      </c>
      <c r="G1338" s="440">
        <f t="shared" si="223"/>
        <v>17.05611544295002</v>
      </c>
      <c r="H1338" s="441">
        <f t="shared" si="224"/>
        <v>1657.17217643702</v>
      </c>
      <c r="I1338" s="520">
        <v>20.47</v>
      </c>
    </row>
    <row r="1339" spans="1:9" ht="15.95" customHeight="1" thickBot="1">
      <c r="A1339" s="94">
        <v>93010</v>
      </c>
      <c r="B1339" s="95" t="s">
        <v>45</v>
      </c>
      <c r="C1339" s="74" t="s">
        <v>46</v>
      </c>
      <c r="D1339" s="74" t="s">
        <v>68</v>
      </c>
      <c r="E1339" s="78" t="s">
        <v>1078</v>
      </c>
      <c r="F1339" s="440">
        <f>ROUND(24.4,15)</f>
        <v>24.4</v>
      </c>
      <c r="G1339" s="440">
        <f t="shared" si="223"/>
        <v>23.688586323550027</v>
      </c>
      <c r="H1339" s="441">
        <f t="shared" si="224"/>
        <v>578.00150629462098</v>
      </c>
      <c r="I1339" s="520">
        <v>28.43</v>
      </c>
    </row>
    <row r="1340" spans="1:9" ht="15.95" customHeight="1" thickBot="1">
      <c r="A1340" s="94">
        <v>93011</v>
      </c>
      <c r="B1340" s="95" t="s">
        <v>45</v>
      </c>
      <c r="C1340" s="74" t="s">
        <v>46</v>
      </c>
      <c r="D1340" s="74" t="s">
        <v>68</v>
      </c>
      <c r="E1340" s="78" t="s">
        <v>928</v>
      </c>
      <c r="F1340" s="440">
        <f>ROUND(162.88,15)</f>
        <v>162.88</v>
      </c>
      <c r="G1340" s="440">
        <f t="shared" si="223"/>
        <v>28.946235978900035</v>
      </c>
      <c r="H1340" s="441">
        <f t="shared" si="224"/>
        <v>4714.7629162432404</v>
      </c>
      <c r="I1340" s="520">
        <v>34.74</v>
      </c>
    </row>
    <row r="1341" spans="1:9" ht="15.95" customHeight="1" thickBot="1">
      <c r="A1341" s="94" t="s">
        <v>1079</v>
      </c>
      <c r="B1341" s="95" t="s">
        <v>148</v>
      </c>
      <c r="C1341" s="74" t="s">
        <v>46</v>
      </c>
      <c r="D1341" s="74" t="s">
        <v>68</v>
      </c>
      <c r="E1341" s="78" t="s">
        <v>1080</v>
      </c>
      <c r="F1341" s="440">
        <f>ROUND(110.8,15)</f>
        <v>110.8</v>
      </c>
      <c r="G1341" s="440">
        <f t="shared" si="223"/>
        <v>6.6574676301500082</v>
      </c>
      <c r="H1341" s="441">
        <f t="shared" si="224"/>
        <v>737.64741342062098</v>
      </c>
      <c r="I1341" s="520">
        <v>7.99</v>
      </c>
    </row>
    <row r="1342" spans="1:9" ht="15.95" customHeight="1" thickBot="1">
      <c r="A1342" s="102">
        <v>93012</v>
      </c>
      <c r="B1342" s="103" t="s">
        <v>45</v>
      </c>
      <c r="C1342" s="66" t="s">
        <v>46</v>
      </c>
      <c r="D1342" s="66" t="s">
        <v>68</v>
      </c>
      <c r="E1342" s="67" t="s">
        <v>1081</v>
      </c>
      <c r="F1342" s="450">
        <f>ROUND(20,15)</f>
        <v>20</v>
      </c>
      <c r="G1342" s="440">
        <f t="shared" si="223"/>
        <v>43.660989214000047</v>
      </c>
      <c r="H1342" s="451">
        <f t="shared" si="224"/>
        <v>873.21978428000102</v>
      </c>
      <c r="I1342" s="520">
        <v>52.4</v>
      </c>
    </row>
    <row r="1343" spans="1:9" ht="15.75" thickTop="1" thickBot="1">
      <c r="A1343" s="51"/>
      <c r="B1343" s="52"/>
      <c r="C1343" s="52"/>
      <c r="D1343" s="136"/>
      <c r="E1343" s="524" t="s">
        <v>1071</v>
      </c>
      <c r="F1343" s="387"/>
      <c r="G1343" s="388">
        <f>H1326+H1327+H1328+H1329+H1330+H1331+H1332+H1333+H1334+H1335+H1336+H1337+H1338+H1339+H1340+H1341+H1342</f>
        <v>18207.223425397387</v>
      </c>
      <c r="H1343" s="389">
        <f>ROUND(G1343,15)</f>
        <v>18207.223425397398</v>
      </c>
      <c r="I1343" s="520"/>
    </row>
    <row r="1344" spans="1:9" ht="15.75" thickTop="1" thickBot="1">
      <c r="A1344" s="272" t="s">
        <v>1082</v>
      </c>
      <c r="B1344" s="273"/>
      <c r="C1344" s="273" t="s">
        <v>38</v>
      </c>
      <c r="D1344" s="274"/>
      <c r="E1344" s="353" t="s">
        <v>931</v>
      </c>
      <c r="F1344" s="276"/>
      <c r="G1344" s="277">
        <f>G1352</f>
        <v>67893.049533626312</v>
      </c>
      <c r="H1344" s="278">
        <f>ROUND(G1344,15)</f>
        <v>67893.049533626297</v>
      </c>
      <c r="I1344" s="520"/>
    </row>
    <row r="1345" spans="1:9" ht="26.1" customHeight="1" thickTop="1" thickBot="1">
      <c r="A1345" s="90">
        <v>91927</v>
      </c>
      <c r="B1345" s="91" t="s">
        <v>45</v>
      </c>
      <c r="C1345" s="54" t="s">
        <v>46</v>
      </c>
      <c r="D1345" s="54" t="s">
        <v>68</v>
      </c>
      <c r="E1345" s="55" t="s">
        <v>1083</v>
      </c>
      <c r="F1345" s="436">
        <f>ROUND(2347.74,15)</f>
        <v>2347.7399999999998</v>
      </c>
      <c r="G1345" s="437">
        <f t="shared" ref="G1345:G1351" si="225">I1345*(100%-$I$14)</f>
        <v>4.6243986667500057</v>
      </c>
      <c r="H1345" s="438">
        <f t="shared" ref="H1345:H1351" si="226">ROUND(F1345*G1345,15)</f>
        <v>10856.8857258757</v>
      </c>
      <c r="I1345" s="520">
        <v>5.55</v>
      </c>
    </row>
    <row r="1346" spans="1:9" ht="26.1" customHeight="1" thickBot="1">
      <c r="A1346" s="92">
        <v>91929</v>
      </c>
      <c r="B1346" s="93" t="s">
        <v>45</v>
      </c>
      <c r="C1346" s="58" t="s">
        <v>46</v>
      </c>
      <c r="D1346" s="58" t="s">
        <v>68</v>
      </c>
      <c r="E1346" s="59" t="s">
        <v>1084</v>
      </c>
      <c r="F1346" s="437">
        <f>ROUND(110.4,15)</f>
        <v>110.4</v>
      </c>
      <c r="G1346" s="437">
        <f t="shared" si="225"/>
        <v>6.5241516325500077</v>
      </c>
      <c r="H1346" s="439">
        <f t="shared" si="226"/>
        <v>720.26634023352096</v>
      </c>
      <c r="I1346" s="520">
        <v>7.83</v>
      </c>
    </row>
    <row r="1347" spans="1:9" ht="26.1" customHeight="1" thickBot="1">
      <c r="A1347" s="92">
        <v>91931</v>
      </c>
      <c r="B1347" s="93" t="s">
        <v>45</v>
      </c>
      <c r="C1347" s="58" t="s">
        <v>46</v>
      </c>
      <c r="D1347" s="58" t="s">
        <v>68</v>
      </c>
      <c r="E1347" s="59" t="s">
        <v>1085</v>
      </c>
      <c r="F1347" s="437">
        <f>ROUND(990.1,15)</f>
        <v>990.1</v>
      </c>
      <c r="G1347" s="437">
        <f t="shared" si="225"/>
        <v>8.7988558416000107</v>
      </c>
      <c r="H1347" s="439">
        <f t="shared" si="226"/>
        <v>8711.74716876817</v>
      </c>
      <c r="I1347" s="520">
        <v>10.56</v>
      </c>
    </row>
    <row r="1348" spans="1:9" ht="26.1" customHeight="1" thickBot="1">
      <c r="A1348" s="92">
        <v>92980</v>
      </c>
      <c r="B1348" s="93" t="s">
        <v>45</v>
      </c>
      <c r="C1348" s="58" t="s">
        <v>46</v>
      </c>
      <c r="D1348" s="58" t="s">
        <v>68</v>
      </c>
      <c r="E1348" s="59" t="s">
        <v>1086</v>
      </c>
      <c r="F1348" s="437">
        <f>ROUND(905.88,15)</f>
        <v>905.88</v>
      </c>
      <c r="G1348" s="437">
        <f t="shared" si="225"/>
        <v>9.9903675701500116</v>
      </c>
      <c r="H1348" s="439">
        <f t="shared" si="226"/>
        <v>9050.0741744474908</v>
      </c>
      <c r="I1348" s="520">
        <v>11.99</v>
      </c>
    </row>
    <row r="1349" spans="1:9" ht="26.1" customHeight="1" thickBot="1">
      <c r="A1349" s="92">
        <v>92982</v>
      </c>
      <c r="B1349" s="93" t="s">
        <v>45</v>
      </c>
      <c r="C1349" s="58" t="s">
        <v>46</v>
      </c>
      <c r="D1349" s="58" t="s">
        <v>68</v>
      </c>
      <c r="E1349" s="59" t="s">
        <v>1087</v>
      </c>
      <c r="F1349" s="437">
        <f>ROUND(514.76,15)</f>
        <v>514.76</v>
      </c>
      <c r="G1349" s="437">
        <f t="shared" si="225"/>
        <v>15.281346224900018</v>
      </c>
      <c r="H1349" s="439">
        <f t="shared" si="226"/>
        <v>7866.2257827295298</v>
      </c>
      <c r="I1349" s="520">
        <v>18.34</v>
      </c>
    </row>
    <row r="1350" spans="1:9" ht="26.1" customHeight="1" thickBot="1">
      <c r="A1350" s="92">
        <v>92988</v>
      </c>
      <c r="B1350" s="93" t="s">
        <v>45</v>
      </c>
      <c r="C1350" s="58" t="s">
        <v>46</v>
      </c>
      <c r="D1350" s="58" t="s">
        <v>68</v>
      </c>
      <c r="E1350" s="59" t="s">
        <v>938</v>
      </c>
      <c r="F1350" s="437">
        <f>ROUND(79.3,15)</f>
        <v>79.3</v>
      </c>
      <c r="G1350" s="437">
        <f t="shared" si="225"/>
        <v>46.818911907150053</v>
      </c>
      <c r="H1350" s="439">
        <f t="shared" si="226"/>
        <v>3712.739714237</v>
      </c>
      <c r="I1350" s="520">
        <v>56.19</v>
      </c>
    </row>
    <row r="1351" spans="1:9" ht="26.1" customHeight="1" thickBot="1">
      <c r="A1351" s="96">
        <v>92992</v>
      </c>
      <c r="B1351" s="97" t="s">
        <v>45</v>
      </c>
      <c r="C1351" s="60" t="s">
        <v>46</v>
      </c>
      <c r="D1351" s="60" t="s">
        <v>68</v>
      </c>
      <c r="E1351" s="61" t="s">
        <v>1088</v>
      </c>
      <c r="F1351" s="442">
        <f>ROUND(317.24,15)</f>
        <v>317.24</v>
      </c>
      <c r="G1351" s="437">
        <f t="shared" si="225"/>
        <v>85.030609719250094</v>
      </c>
      <c r="H1351" s="443">
        <f t="shared" si="226"/>
        <v>26975.1106273349</v>
      </c>
      <c r="I1351" s="520">
        <v>102.05</v>
      </c>
    </row>
    <row r="1352" spans="1:9" ht="15.75" thickTop="1" thickBot="1">
      <c r="A1352" s="51"/>
      <c r="B1352" s="52"/>
      <c r="C1352" s="52"/>
      <c r="D1352" s="136"/>
      <c r="E1352" s="524" t="s">
        <v>1082</v>
      </c>
      <c r="F1352" s="387"/>
      <c r="G1352" s="388">
        <f>H1345+H1346+H1347+H1348+H1349+H1350+H1351</f>
        <v>67893.049533626312</v>
      </c>
      <c r="H1352" s="389">
        <f>ROUND(G1352,15)</f>
        <v>67893.049533626297</v>
      </c>
      <c r="I1352" s="520"/>
    </row>
    <row r="1353" spans="1:9" ht="15.75" thickTop="1" thickBot="1">
      <c r="A1353" s="272" t="s">
        <v>1089</v>
      </c>
      <c r="B1353" s="273"/>
      <c r="C1353" s="273" t="s">
        <v>38</v>
      </c>
      <c r="D1353" s="274"/>
      <c r="E1353" s="353" t="s">
        <v>1090</v>
      </c>
      <c r="F1353" s="276"/>
      <c r="G1353" s="277">
        <f>G1374</f>
        <v>10434.729787550443</v>
      </c>
      <c r="H1353" s="278">
        <f>ROUND(G1353,15)</f>
        <v>10434.729787550399</v>
      </c>
      <c r="I1353" s="520"/>
    </row>
    <row r="1354" spans="1:9" ht="26.1" customHeight="1" thickTop="1" thickBot="1">
      <c r="A1354" s="90">
        <v>93669</v>
      </c>
      <c r="B1354" s="91" t="s">
        <v>45</v>
      </c>
      <c r="C1354" s="54" t="s">
        <v>46</v>
      </c>
      <c r="D1354" s="54" t="s">
        <v>47</v>
      </c>
      <c r="E1354" s="55" t="s">
        <v>915</v>
      </c>
      <c r="F1354" s="436">
        <f t="shared" ref="F1354:F1360" si="227">ROUND(1,15)</f>
        <v>1</v>
      </c>
      <c r="G1354" s="437">
        <f t="shared" ref="G1354:G1373" si="228">I1354*(100%-$I$14)</f>
        <v>61.85862288640007</v>
      </c>
      <c r="H1354" s="438">
        <f t="shared" ref="H1354:H1373" si="229">ROUND(F1354*G1354,15)</f>
        <v>61.858622886400099</v>
      </c>
      <c r="I1354" s="520">
        <v>74.239999999999995</v>
      </c>
    </row>
    <row r="1355" spans="1:9" ht="26.1" customHeight="1" thickBot="1">
      <c r="A1355" s="92">
        <v>93670</v>
      </c>
      <c r="B1355" s="93" t="s">
        <v>45</v>
      </c>
      <c r="C1355" s="58" t="s">
        <v>46</v>
      </c>
      <c r="D1355" s="58" t="s">
        <v>47</v>
      </c>
      <c r="E1355" s="59" t="s">
        <v>883</v>
      </c>
      <c r="F1355" s="437">
        <f t="shared" si="227"/>
        <v>1</v>
      </c>
      <c r="G1355" s="437">
        <f t="shared" si="228"/>
        <v>61.85862288640007</v>
      </c>
      <c r="H1355" s="439">
        <f t="shared" si="229"/>
        <v>61.858622886400099</v>
      </c>
      <c r="I1355" s="520">
        <v>74.239999999999995</v>
      </c>
    </row>
    <row r="1356" spans="1:9" ht="26.1" customHeight="1" thickBot="1">
      <c r="A1356" s="92">
        <v>93672</v>
      </c>
      <c r="B1356" s="93" t="s">
        <v>45</v>
      </c>
      <c r="C1356" s="58" t="s">
        <v>46</v>
      </c>
      <c r="D1356" s="58" t="s">
        <v>47</v>
      </c>
      <c r="E1356" s="59" t="s">
        <v>884</v>
      </c>
      <c r="F1356" s="437">
        <f t="shared" si="227"/>
        <v>1</v>
      </c>
      <c r="G1356" s="437">
        <f t="shared" si="228"/>
        <v>69.799256993450072</v>
      </c>
      <c r="H1356" s="439">
        <f t="shared" si="229"/>
        <v>69.799256993450101</v>
      </c>
      <c r="I1356" s="520">
        <v>83.77</v>
      </c>
    </row>
    <row r="1357" spans="1:9" ht="15" thickBot="1">
      <c r="A1357" s="94" t="s">
        <v>1091</v>
      </c>
      <c r="B1357" s="95" t="s">
        <v>148</v>
      </c>
      <c r="C1357" s="74" t="s">
        <v>46</v>
      </c>
      <c r="D1357" s="74" t="s">
        <v>47</v>
      </c>
      <c r="E1357" s="78" t="s">
        <v>1092</v>
      </c>
      <c r="F1357" s="440">
        <f t="shared" si="227"/>
        <v>1</v>
      </c>
      <c r="G1357" s="440">
        <f t="shared" si="228"/>
        <v>299.78601735315038</v>
      </c>
      <c r="H1357" s="441">
        <f t="shared" si="229"/>
        <v>299.78601735314999</v>
      </c>
      <c r="I1357" s="520">
        <v>359.79</v>
      </c>
    </row>
    <row r="1358" spans="1:9" ht="26.1" customHeight="1" thickBot="1">
      <c r="A1358" s="92" t="s">
        <v>1093</v>
      </c>
      <c r="B1358" s="93" t="s">
        <v>45</v>
      </c>
      <c r="C1358" s="58" t="s">
        <v>46</v>
      </c>
      <c r="D1358" s="58" t="s">
        <v>47</v>
      </c>
      <c r="E1358" s="59" t="s">
        <v>1094</v>
      </c>
      <c r="F1358" s="437">
        <f t="shared" si="227"/>
        <v>1</v>
      </c>
      <c r="G1358" s="437">
        <f t="shared" si="228"/>
        <v>1115.8548999120014</v>
      </c>
      <c r="H1358" s="439">
        <f t="shared" si="229"/>
        <v>1115.8548999120001</v>
      </c>
      <c r="I1358" s="520">
        <v>1339.2</v>
      </c>
    </row>
    <row r="1359" spans="1:9" ht="26.1" customHeight="1" thickBot="1">
      <c r="A1359" s="92">
        <v>93656</v>
      </c>
      <c r="B1359" s="93" t="s">
        <v>45</v>
      </c>
      <c r="C1359" s="58" t="s">
        <v>46</v>
      </c>
      <c r="D1359" s="58" t="s">
        <v>47</v>
      </c>
      <c r="E1359" s="59" t="s">
        <v>882</v>
      </c>
      <c r="F1359" s="437">
        <f t="shared" si="227"/>
        <v>1</v>
      </c>
      <c r="G1359" s="437">
        <f t="shared" si="228"/>
        <v>10.606954059050013</v>
      </c>
      <c r="H1359" s="439">
        <f t="shared" si="229"/>
        <v>10.60695405905</v>
      </c>
      <c r="I1359" s="520">
        <v>12.73</v>
      </c>
    </row>
    <row r="1360" spans="1:9" ht="36" customHeight="1" thickBot="1">
      <c r="A1360" s="92">
        <v>83463</v>
      </c>
      <c r="B1360" s="93" t="s">
        <v>45</v>
      </c>
      <c r="C1360" s="58" t="s">
        <v>46</v>
      </c>
      <c r="D1360" s="58" t="s">
        <v>47</v>
      </c>
      <c r="E1360" s="59" t="s">
        <v>1095</v>
      </c>
      <c r="F1360" s="437">
        <f t="shared" si="227"/>
        <v>1</v>
      </c>
      <c r="G1360" s="437">
        <f t="shared" si="228"/>
        <v>280.83014894440032</v>
      </c>
      <c r="H1360" s="439">
        <f t="shared" si="229"/>
        <v>280.83014894439998</v>
      </c>
      <c r="I1360" s="520">
        <v>337.04</v>
      </c>
    </row>
    <row r="1361" spans="1:9" ht="15" thickBot="1">
      <c r="A1361" s="102">
        <v>96985</v>
      </c>
      <c r="B1361" s="103" t="s">
        <v>45</v>
      </c>
      <c r="C1361" s="66" t="s">
        <v>46</v>
      </c>
      <c r="D1361" s="66" t="s">
        <v>47</v>
      </c>
      <c r="E1361" s="67" t="s">
        <v>1096</v>
      </c>
      <c r="F1361" s="450">
        <f>ROUND(12,15)</f>
        <v>12</v>
      </c>
      <c r="G1361" s="450">
        <f t="shared" si="228"/>
        <v>50.351785843550061</v>
      </c>
      <c r="H1361" s="451">
        <f t="shared" si="229"/>
        <v>604.22143012260096</v>
      </c>
      <c r="I1361" s="520">
        <v>60.43</v>
      </c>
    </row>
    <row r="1362" spans="1:9" ht="26.1" customHeight="1" thickTop="1" thickBot="1">
      <c r="A1362" s="90">
        <v>98111</v>
      </c>
      <c r="B1362" s="91" t="s">
        <v>45</v>
      </c>
      <c r="C1362" s="54" t="s">
        <v>46</v>
      </c>
      <c r="D1362" s="54" t="s">
        <v>47</v>
      </c>
      <c r="E1362" s="55" t="s">
        <v>982</v>
      </c>
      <c r="F1362" s="436">
        <f>ROUND(12,15)</f>
        <v>12</v>
      </c>
      <c r="G1362" s="436">
        <f t="shared" si="228"/>
        <v>22.388755346950028</v>
      </c>
      <c r="H1362" s="438">
        <f t="shared" si="229"/>
        <v>268.66506416340002</v>
      </c>
      <c r="I1362" s="520">
        <v>26.87</v>
      </c>
    </row>
    <row r="1363" spans="1:9" ht="26.1" customHeight="1" thickBot="1">
      <c r="A1363" s="92">
        <v>96974</v>
      </c>
      <c r="B1363" s="93" t="s">
        <v>45</v>
      </c>
      <c r="C1363" s="58" t="s">
        <v>46</v>
      </c>
      <c r="D1363" s="74" t="s">
        <v>68</v>
      </c>
      <c r="E1363" s="59" t="s">
        <v>1097</v>
      </c>
      <c r="F1363" s="437">
        <f>ROUND(53.6,15)</f>
        <v>53.6</v>
      </c>
      <c r="G1363" s="437">
        <f t="shared" si="228"/>
        <v>50.026828099400056</v>
      </c>
      <c r="H1363" s="439">
        <f t="shared" si="229"/>
        <v>2681.4379861278398</v>
      </c>
      <c r="I1363" s="520">
        <v>60.04</v>
      </c>
    </row>
    <row r="1364" spans="1:9" ht="26.1" customHeight="1" thickBot="1">
      <c r="A1364" s="92" t="s">
        <v>1098</v>
      </c>
      <c r="B1364" s="93" t="s">
        <v>148</v>
      </c>
      <c r="C1364" s="58" t="s">
        <v>46</v>
      </c>
      <c r="D1364" s="58" t="s">
        <v>47</v>
      </c>
      <c r="E1364" s="59" t="s">
        <v>1099</v>
      </c>
      <c r="F1364" s="437">
        <f>ROUND(1,15)</f>
        <v>1</v>
      </c>
      <c r="G1364" s="437">
        <f t="shared" si="228"/>
        <v>1321.8447807037016</v>
      </c>
      <c r="H1364" s="439">
        <f t="shared" si="229"/>
        <v>1321.8447807037001</v>
      </c>
      <c r="I1364" s="520">
        <v>1586.42</v>
      </c>
    </row>
    <row r="1365" spans="1:9" ht="26.1" customHeight="1" thickBot="1">
      <c r="A1365" s="92" t="s">
        <v>1100</v>
      </c>
      <c r="B1365" s="93" t="s">
        <v>148</v>
      </c>
      <c r="C1365" s="58" t="s">
        <v>46</v>
      </c>
      <c r="D1365" s="58" t="s">
        <v>47</v>
      </c>
      <c r="E1365" s="59" t="s">
        <v>1101</v>
      </c>
      <c r="F1365" s="437">
        <f>ROUND(1,15)</f>
        <v>1</v>
      </c>
      <c r="G1365" s="437">
        <f t="shared" si="228"/>
        <v>454.71587106405053</v>
      </c>
      <c r="H1365" s="439">
        <f t="shared" si="229"/>
        <v>454.71587106405099</v>
      </c>
      <c r="I1365" s="520">
        <v>545.73</v>
      </c>
    </row>
    <row r="1366" spans="1:9" ht="26.1" customHeight="1" thickBot="1">
      <c r="A1366" s="92" t="s">
        <v>1102</v>
      </c>
      <c r="B1366" s="93" t="s">
        <v>148</v>
      </c>
      <c r="C1366" s="58" t="s">
        <v>46</v>
      </c>
      <c r="D1366" s="58" t="s">
        <v>47</v>
      </c>
      <c r="E1366" s="59" t="s">
        <v>1103</v>
      </c>
      <c r="F1366" s="437">
        <f>ROUND(1,15)</f>
        <v>1</v>
      </c>
      <c r="G1366" s="437">
        <f t="shared" si="228"/>
        <v>597.36398849605064</v>
      </c>
      <c r="H1366" s="439">
        <f t="shared" si="229"/>
        <v>597.36398849605098</v>
      </c>
      <c r="I1366" s="520">
        <v>716.93</v>
      </c>
    </row>
    <row r="1367" spans="1:9" ht="26.1" customHeight="1" thickBot="1">
      <c r="A1367" s="92" t="s">
        <v>1104</v>
      </c>
      <c r="B1367" s="93" t="s">
        <v>148</v>
      </c>
      <c r="C1367" s="58" t="s">
        <v>46</v>
      </c>
      <c r="D1367" s="58" t="s">
        <v>47</v>
      </c>
      <c r="E1367" s="59" t="s">
        <v>1105</v>
      </c>
      <c r="F1367" s="437">
        <f>ROUND(1,15)</f>
        <v>1</v>
      </c>
      <c r="G1367" s="437">
        <f t="shared" si="228"/>
        <v>346.09666201945043</v>
      </c>
      <c r="H1367" s="439">
        <f t="shared" si="229"/>
        <v>346.09666201944998</v>
      </c>
      <c r="I1367" s="520">
        <v>415.37</v>
      </c>
    </row>
    <row r="1368" spans="1:9" ht="26.1" customHeight="1" thickBot="1">
      <c r="A1368" s="92" t="s">
        <v>1106</v>
      </c>
      <c r="B1368" s="93" t="s">
        <v>148</v>
      </c>
      <c r="C1368" s="58" t="s">
        <v>46</v>
      </c>
      <c r="D1368" s="58" t="s">
        <v>47</v>
      </c>
      <c r="E1368" s="59" t="s">
        <v>1107</v>
      </c>
      <c r="F1368" s="437">
        <f>ROUND(1,15)</f>
        <v>1</v>
      </c>
      <c r="G1368" s="437">
        <f t="shared" si="228"/>
        <v>1457.5854630100516</v>
      </c>
      <c r="H1368" s="439">
        <f t="shared" si="229"/>
        <v>1457.58546301005</v>
      </c>
      <c r="I1368" s="520">
        <v>1749.33</v>
      </c>
    </row>
    <row r="1369" spans="1:9" ht="15" thickBot="1">
      <c r="A1369" s="94" t="s">
        <v>1108</v>
      </c>
      <c r="B1369" s="95" t="s">
        <v>57</v>
      </c>
      <c r="C1369" s="74" t="s">
        <v>46</v>
      </c>
      <c r="D1369" s="74" t="s">
        <v>68</v>
      </c>
      <c r="E1369" s="78" t="s">
        <v>1109</v>
      </c>
      <c r="F1369" s="440">
        <f>ROUND(4,15)</f>
        <v>4</v>
      </c>
      <c r="G1369" s="440">
        <f t="shared" si="228"/>
        <v>20.239034885650025</v>
      </c>
      <c r="H1369" s="441">
        <f t="shared" si="229"/>
        <v>80.956139542600098</v>
      </c>
      <c r="I1369" s="520">
        <v>24.29</v>
      </c>
    </row>
    <row r="1370" spans="1:9" ht="15" thickBot="1">
      <c r="A1370" s="94" t="s">
        <v>1110</v>
      </c>
      <c r="B1370" s="95" t="s">
        <v>57</v>
      </c>
      <c r="C1370" s="74" t="s">
        <v>46</v>
      </c>
      <c r="D1370" s="74" t="s">
        <v>68</v>
      </c>
      <c r="E1370" s="78" t="s">
        <v>1111</v>
      </c>
      <c r="F1370" s="440">
        <f>ROUND(2,15)</f>
        <v>2</v>
      </c>
      <c r="G1370" s="440">
        <f t="shared" si="228"/>
        <v>24.088534316350028</v>
      </c>
      <c r="H1370" s="441">
        <f t="shared" si="229"/>
        <v>48.177068632700099</v>
      </c>
      <c r="I1370" s="520">
        <v>28.91</v>
      </c>
    </row>
    <row r="1371" spans="1:9" ht="15" thickBot="1">
      <c r="A1371" s="94" t="s">
        <v>1112</v>
      </c>
      <c r="B1371" s="95" t="s">
        <v>57</v>
      </c>
      <c r="C1371" s="74" t="s">
        <v>46</v>
      </c>
      <c r="D1371" s="74" t="s">
        <v>68</v>
      </c>
      <c r="E1371" s="78" t="s">
        <v>1113</v>
      </c>
      <c r="F1371" s="440">
        <f>ROUND(3,15)</f>
        <v>3</v>
      </c>
      <c r="G1371" s="440">
        <f t="shared" si="228"/>
        <v>45.810709675300053</v>
      </c>
      <c r="H1371" s="441">
        <f t="shared" si="229"/>
        <v>137.4321290259</v>
      </c>
      <c r="I1371" s="520">
        <v>54.98</v>
      </c>
    </row>
    <row r="1372" spans="1:9" ht="15" thickBot="1">
      <c r="A1372" s="94" t="s">
        <v>1114</v>
      </c>
      <c r="B1372" s="95" t="s">
        <v>57</v>
      </c>
      <c r="C1372" s="74" t="s">
        <v>46</v>
      </c>
      <c r="D1372" s="74" t="s">
        <v>68</v>
      </c>
      <c r="E1372" s="78" t="s">
        <v>1115</v>
      </c>
      <c r="F1372" s="440">
        <f>ROUND(3,15)</f>
        <v>3</v>
      </c>
      <c r="G1372" s="440">
        <f t="shared" si="228"/>
        <v>77.431597856050089</v>
      </c>
      <c r="H1372" s="441">
        <f t="shared" si="229"/>
        <v>232.29479356815</v>
      </c>
      <c r="I1372" s="520">
        <v>92.93</v>
      </c>
    </row>
    <row r="1373" spans="1:9" ht="15" thickBot="1">
      <c r="A1373" s="102" t="s">
        <v>1116</v>
      </c>
      <c r="B1373" s="103" t="s">
        <v>57</v>
      </c>
      <c r="C1373" s="66" t="s">
        <v>46</v>
      </c>
      <c r="D1373" s="66" t="s">
        <v>68</v>
      </c>
      <c r="E1373" s="67" t="s">
        <v>1117</v>
      </c>
      <c r="F1373" s="450">
        <f>ROUND(2,15)</f>
        <v>2</v>
      </c>
      <c r="G1373" s="440">
        <f t="shared" si="228"/>
        <v>151.67194401955018</v>
      </c>
      <c r="H1373" s="451">
        <f t="shared" si="229"/>
        <v>303.34388803910002</v>
      </c>
      <c r="I1373" s="520">
        <v>182.03</v>
      </c>
    </row>
    <row r="1374" spans="1:9" ht="15.75" thickTop="1" thickBot="1">
      <c r="A1374" s="51"/>
      <c r="B1374" s="52"/>
      <c r="C1374" s="52"/>
      <c r="D1374" s="136"/>
      <c r="E1374" s="524" t="s">
        <v>1089</v>
      </c>
      <c r="F1374" s="387"/>
      <c r="G1374" s="388">
        <f>H1354+H1355+H1356+H1357+H1358+H1359+H1360+H1361+H1362+H1363+H1364+H1365+H1366+H1367+H1368+H1369+H1370+H1371+H1372+H1373</f>
        <v>10434.729787550443</v>
      </c>
      <c r="H1374" s="389">
        <f>ROUND(G1374,15)</f>
        <v>10434.729787550399</v>
      </c>
      <c r="I1374" s="520"/>
    </row>
    <row r="1375" spans="1:9" ht="15.75" thickTop="1" thickBot="1">
      <c r="A1375" s="272" t="s">
        <v>1118</v>
      </c>
      <c r="B1375" s="273"/>
      <c r="C1375" s="273" t="s">
        <v>38</v>
      </c>
      <c r="D1375" s="274"/>
      <c r="E1375" s="353" t="s">
        <v>1070</v>
      </c>
      <c r="F1375" s="276"/>
      <c r="G1375" s="277">
        <f>G1390</f>
        <v>16433.292265037289</v>
      </c>
      <c r="H1375" s="278">
        <f>ROUND(G1375,15)</f>
        <v>16433.2922650373</v>
      </c>
      <c r="I1375" s="520"/>
    </row>
    <row r="1376" spans="1:9" ht="26.1" customHeight="1" thickTop="1" thickBot="1">
      <c r="A1376" s="90" t="s">
        <v>1119</v>
      </c>
      <c r="B1376" s="91" t="s">
        <v>148</v>
      </c>
      <c r="C1376" s="54" t="s">
        <v>46</v>
      </c>
      <c r="D1376" s="54" t="s">
        <v>47</v>
      </c>
      <c r="E1376" s="55" t="s">
        <v>1120</v>
      </c>
      <c r="F1376" s="436">
        <f>ROUND(1,15)</f>
        <v>1</v>
      </c>
      <c r="G1376" s="437">
        <f t="shared" ref="G1376:G1389" si="230">I1376*(100%-$I$14)</f>
        <v>1190.3868748202515</v>
      </c>
      <c r="H1376" s="438">
        <f t="shared" ref="H1376:H1389" si="231">ROUND(F1376*G1376,15)</f>
        <v>1190.3868748202499</v>
      </c>
      <c r="I1376" s="520">
        <v>1428.65</v>
      </c>
    </row>
    <row r="1377" spans="1:9" ht="15" thickBot="1">
      <c r="A1377" s="94">
        <v>102109</v>
      </c>
      <c r="B1377" s="95" t="s">
        <v>45</v>
      </c>
      <c r="C1377" s="74" t="s">
        <v>46</v>
      </c>
      <c r="D1377" s="74" t="s">
        <v>47</v>
      </c>
      <c r="E1377" s="78" t="s">
        <v>1519</v>
      </c>
      <c r="F1377" s="440">
        <f>ROUND(1,15)</f>
        <v>1</v>
      </c>
      <c r="G1377" s="440">
        <f t="shared" si="230"/>
        <v>37.595111323200044</v>
      </c>
      <c r="H1377" s="441">
        <f t="shared" si="231"/>
        <v>37.595111323200001</v>
      </c>
      <c r="I1377" s="520">
        <v>45.12</v>
      </c>
    </row>
    <row r="1378" spans="1:9" ht="15" thickBot="1">
      <c r="A1378" s="94">
        <v>101547</v>
      </c>
      <c r="B1378" s="95" t="s">
        <v>45</v>
      </c>
      <c r="C1378" s="74" t="s">
        <v>46</v>
      </c>
      <c r="D1378" s="74" t="s">
        <v>47</v>
      </c>
      <c r="E1378" s="78" t="s">
        <v>1520</v>
      </c>
      <c r="F1378" s="440">
        <f>ROUND(3,15)</f>
        <v>3</v>
      </c>
      <c r="G1378" s="440">
        <f t="shared" si="230"/>
        <v>56.234354237650059</v>
      </c>
      <c r="H1378" s="441">
        <f t="shared" si="231"/>
        <v>168.70306271294999</v>
      </c>
      <c r="I1378" s="520">
        <v>67.489999999999995</v>
      </c>
    </row>
    <row r="1379" spans="1:9" ht="26.1" customHeight="1" thickBot="1">
      <c r="A1379" s="92">
        <v>96973</v>
      </c>
      <c r="B1379" s="93" t="s">
        <v>45</v>
      </c>
      <c r="C1379" s="58" t="s">
        <v>46</v>
      </c>
      <c r="D1379" s="58" t="s">
        <v>68</v>
      </c>
      <c r="E1379" s="59" t="s">
        <v>1121</v>
      </c>
      <c r="F1379" s="437">
        <f>ROUND(18,15)</f>
        <v>18</v>
      </c>
      <c r="G1379" s="437">
        <f t="shared" si="230"/>
        <v>39.361548291400048</v>
      </c>
      <c r="H1379" s="439">
        <f t="shared" si="231"/>
        <v>708.50786924520105</v>
      </c>
      <c r="I1379" s="520">
        <v>47.24</v>
      </c>
    </row>
    <row r="1380" spans="1:9" ht="15" thickBot="1">
      <c r="A1380" s="94" t="s">
        <v>1122</v>
      </c>
      <c r="B1380" s="95" t="s">
        <v>148</v>
      </c>
      <c r="C1380" s="74" t="s">
        <v>46</v>
      </c>
      <c r="D1380" s="74" t="s">
        <v>47</v>
      </c>
      <c r="E1380" s="78" t="s">
        <v>1123</v>
      </c>
      <c r="F1380" s="440">
        <f>ROUND(3,15)</f>
        <v>3</v>
      </c>
      <c r="G1380" s="440">
        <f t="shared" si="230"/>
        <v>286.22111459735032</v>
      </c>
      <c r="H1380" s="441">
        <f t="shared" si="231"/>
        <v>858.66334379205102</v>
      </c>
      <c r="I1380" s="520">
        <v>343.51</v>
      </c>
    </row>
    <row r="1381" spans="1:9" ht="26.1" customHeight="1" thickBot="1">
      <c r="A1381" s="92">
        <v>101898</v>
      </c>
      <c r="B1381" s="93" t="s">
        <v>45</v>
      </c>
      <c r="C1381" s="58" t="s">
        <v>46</v>
      </c>
      <c r="D1381" s="58" t="s">
        <v>47</v>
      </c>
      <c r="E1381" s="59" t="s">
        <v>1521</v>
      </c>
      <c r="F1381" s="437">
        <f>ROUND(1,15)</f>
        <v>1</v>
      </c>
      <c r="G1381" s="437">
        <f t="shared" si="230"/>
        <v>1115.8548999120014</v>
      </c>
      <c r="H1381" s="439">
        <f t="shared" si="231"/>
        <v>1115.8548999120001</v>
      </c>
      <c r="I1381" s="520">
        <v>1339.2</v>
      </c>
    </row>
    <row r="1382" spans="1:9" ht="26.1" customHeight="1" thickBot="1">
      <c r="A1382" s="92" t="s">
        <v>1124</v>
      </c>
      <c r="B1382" s="93" t="s">
        <v>57</v>
      </c>
      <c r="C1382" s="58" t="s">
        <v>46</v>
      </c>
      <c r="D1382" s="58" t="s">
        <v>47</v>
      </c>
      <c r="E1382" s="59" t="s">
        <v>1125</v>
      </c>
      <c r="F1382" s="437">
        <f>ROUND(2,15)</f>
        <v>2</v>
      </c>
      <c r="G1382" s="437">
        <f t="shared" si="230"/>
        <v>2617.7346031246529</v>
      </c>
      <c r="H1382" s="439">
        <f t="shared" si="231"/>
        <v>5235.4692062493104</v>
      </c>
      <c r="I1382" s="520">
        <v>3141.69</v>
      </c>
    </row>
    <row r="1383" spans="1:9" ht="26.1" customHeight="1" thickBot="1">
      <c r="A1383" s="92" t="s">
        <v>1050</v>
      </c>
      <c r="B1383" s="93" t="s">
        <v>57</v>
      </c>
      <c r="C1383" s="58" t="s">
        <v>46</v>
      </c>
      <c r="D1383" s="58" t="s">
        <v>47</v>
      </c>
      <c r="E1383" s="59" t="s">
        <v>1410</v>
      </c>
      <c r="F1383" s="437">
        <f>ROUND(6,15)</f>
        <v>6</v>
      </c>
      <c r="G1383" s="437">
        <f t="shared" si="230"/>
        <v>421.3618749145005</v>
      </c>
      <c r="H1383" s="439">
        <f t="shared" si="231"/>
        <v>2528.1712494869998</v>
      </c>
      <c r="I1383" s="520">
        <v>505.7</v>
      </c>
    </row>
    <row r="1384" spans="1:9" ht="15" thickBot="1">
      <c r="A1384" s="94">
        <v>96985</v>
      </c>
      <c r="B1384" s="95" t="s">
        <v>45</v>
      </c>
      <c r="C1384" s="74" t="s">
        <v>46</v>
      </c>
      <c r="D1384" s="74" t="s">
        <v>47</v>
      </c>
      <c r="E1384" s="78" t="s">
        <v>1096</v>
      </c>
      <c r="F1384" s="440">
        <f>ROUND(6,15)</f>
        <v>6</v>
      </c>
      <c r="G1384" s="440">
        <f t="shared" si="230"/>
        <v>50.351785843550061</v>
      </c>
      <c r="H1384" s="441">
        <f t="shared" si="231"/>
        <v>302.11071506130003</v>
      </c>
      <c r="I1384" s="520">
        <v>60.43</v>
      </c>
    </row>
    <row r="1385" spans="1:9" ht="26.1" customHeight="1" thickBot="1">
      <c r="A1385" s="92">
        <v>92990</v>
      </c>
      <c r="B1385" s="93" t="s">
        <v>45</v>
      </c>
      <c r="C1385" s="58" t="s">
        <v>46</v>
      </c>
      <c r="D1385" s="58" t="s">
        <v>68</v>
      </c>
      <c r="E1385" s="59" t="s">
        <v>1126</v>
      </c>
      <c r="F1385" s="437">
        <f>ROUND(14.5,15)</f>
        <v>14.5</v>
      </c>
      <c r="G1385" s="437">
        <f t="shared" si="230"/>
        <v>64.316636592150076</v>
      </c>
      <c r="H1385" s="439">
        <f t="shared" si="231"/>
        <v>932.59123058617604</v>
      </c>
      <c r="I1385" s="520">
        <v>77.19</v>
      </c>
    </row>
    <row r="1386" spans="1:9" ht="15" thickBot="1">
      <c r="A1386" s="94" t="s">
        <v>1127</v>
      </c>
      <c r="B1386" s="95" t="s">
        <v>57</v>
      </c>
      <c r="C1386" s="74" t="s">
        <v>46</v>
      </c>
      <c r="D1386" s="74" t="s">
        <v>68</v>
      </c>
      <c r="E1386" s="78" t="s">
        <v>1128</v>
      </c>
      <c r="F1386" s="440">
        <f>ROUND(17,15)</f>
        <v>17</v>
      </c>
      <c r="G1386" s="440">
        <f t="shared" si="230"/>
        <v>110.82725525485012</v>
      </c>
      <c r="H1386" s="441">
        <f t="shared" si="231"/>
        <v>1884.0633393324499</v>
      </c>
      <c r="I1386" s="520">
        <v>133.01</v>
      </c>
    </row>
    <row r="1387" spans="1:9" ht="15" thickBot="1">
      <c r="A1387" s="94" t="s">
        <v>1129</v>
      </c>
      <c r="B1387" s="95" t="s">
        <v>57</v>
      </c>
      <c r="C1387" s="74" t="s">
        <v>46</v>
      </c>
      <c r="D1387" s="74" t="s">
        <v>47</v>
      </c>
      <c r="E1387" s="78" t="s">
        <v>1130</v>
      </c>
      <c r="F1387" s="440">
        <f>ROUND(3,15)</f>
        <v>3</v>
      </c>
      <c r="G1387" s="440">
        <f t="shared" si="230"/>
        <v>280.77182319545034</v>
      </c>
      <c r="H1387" s="441">
        <f t="shared" si="231"/>
        <v>842.31546958635101</v>
      </c>
      <c r="I1387" s="520">
        <v>336.97</v>
      </c>
    </row>
    <row r="1388" spans="1:9" ht="15" thickBot="1">
      <c r="A1388" s="94" t="s">
        <v>1131</v>
      </c>
      <c r="B1388" s="95" t="s">
        <v>57</v>
      </c>
      <c r="C1388" s="74" t="s">
        <v>46</v>
      </c>
      <c r="D1388" s="74" t="s">
        <v>47</v>
      </c>
      <c r="E1388" s="78" t="s">
        <v>1132</v>
      </c>
      <c r="F1388" s="440">
        <f>ROUND(3,15)</f>
        <v>3</v>
      </c>
      <c r="G1388" s="440">
        <f t="shared" si="230"/>
        <v>120.67597457755015</v>
      </c>
      <c r="H1388" s="441">
        <f t="shared" si="231"/>
        <v>362.02792373264998</v>
      </c>
      <c r="I1388" s="520">
        <v>144.83000000000001</v>
      </c>
    </row>
    <row r="1389" spans="1:9" ht="15" thickBot="1">
      <c r="A1389" s="102" t="s">
        <v>1133</v>
      </c>
      <c r="B1389" s="103" t="s">
        <v>57</v>
      </c>
      <c r="C1389" s="66" t="s">
        <v>46</v>
      </c>
      <c r="D1389" s="66" t="s">
        <v>47</v>
      </c>
      <c r="E1389" s="67" t="s">
        <v>1134</v>
      </c>
      <c r="F1389" s="450">
        <f>ROUND(4,15)</f>
        <v>4</v>
      </c>
      <c r="G1389" s="440">
        <f t="shared" si="230"/>
        <v>66.707992299100084</v>
      </c>
      <c r="H1389" s="451">
        <f t="shared" si="231"/>
        <v>266.8319691964</v>
      </c>
      <c r="I1389" s="520">
        <v>80.06</v>
      </c>
    </row>
    <row r="1390" spans="1:9" ht="15.75" thickTop="1" thickBot="1">
      <c r="A1390" s="85"/>
      <c r="B1390" s="86"/>
      <c r="C1390" s="86"/>
      <c r="D1390" s="112"/>
      <c r="E1390" s="691" t="s">
        <v>1118</v>
      </c>
      <c r="F1390" s="692"/>
      <c r="G1390" s="693">
        <f>H1376+H1377+H1378+H1379+H1380+H1381+H1382+H1383+H1384+H1385+H1386+H1387+H1388+H1389</f>
        <v>16433.292265037289</v>
      </c>
      <c r="H1390" s="694">
        <f>ROUND(G1390,15)</f>
        <v>16433.2922650373</v>
      </c>
      <c r="I1390" s="520"/>
    </row>
    <row r="1391" spans="1:9" ht="15" thickBot="1">
      <c r="A1391" s="114"/>
      <c r="B1391" s="115"/>
      <c r="C1391" s="115"/>
      <c r="D1391" s="116"/>
      <c r="E1391" s="703" t="s">
        <v>1069</v>
      </c>
      <c r="F1391" s="704"/>
      <c r="G1391" s="705">
        <f>H1343+H1352+H1374+H1390</f>
        <v>112968.29501161139</v>
      </c>
      <c r="H1391" s="706">
        <f>ROUND(G1391,15)</f>
        <v>112968.295011611</v>
      </c>
      <c r="I1391" s="520"/>
    </row>
    <row r="1392" spans="1:9" ht="15.75" thickTop="1" thickBot="1">
      <c r="A1392" s="227" t="s">
        <v>1135</v>
      </c>
      <c r="B1392" s="228"/>
      <c r="C1392" s="228" t="s">
        <v>38</v>
      </c>
      <c r="D1392" s="229"/>
      <c r="E1392" s="230" t="s">
        <v>1136</v>
      </c>
      <c r="F1392" s="231"/>
      <c r="G1392" s="232">
        <f>G1395</f>
        <v>40408.195524057912</v>
      </c>
      <c r="H1392" s="233">
        <f>ROUND(G1392,15)</f>
        <v>40408.195524057897</v>
      </c>
      <c r="I1392" s="520"/>
    </row>
    <row r="1393" spans="1:9" ht="36" customHeight="1" thickTop="1" thickBot="1">
      <c r="A1393" s="90" t="s">
        <v>1137</v>
      </c>
      <c r="B1393" s="91" t="s">
        <v>148</v>
      </c>
      <c r="C1393" s="54" t="s">
        <v>46</v>
      </c>
      <c r="D1393" s="54" t="s">
        <v>47</v>
      </c>
      <c r="E1393" s="55" t="s">
        <v>1138</v>
      </c>
      <c r="F1393" s="436">
        <f>ROUND(22,15)</f>
        <v>22</v>
      </c>
      <c r="G1393" s="437">
        <f t="shared" ref="G1393:G1394" si="232">I1393*(100%-$I$14)</f>
        <v>328.47395358670042</v>
      </c>
      <c r="H1393" s="438">
        <f>ROUND(F1393*G1393,15)</f>
        <v>7226.4269789074096</v>
      </c>
      <c r="I1393" s="520">
        <v>394.22</v>
      </c>
    </row>
    <row r="1394" spans="1:9" ht="15" thickBot="1">
      <c r="A1394" s="102" t="s">
        <v>1139</v>
      </c>
      <c r="B1394" s="103" t="s">
        <v>57</v>
      </c>
      <c r="C1394" s="66" t="s">
        <v>46</v>
      </c>
      <c r="D1394" s="66" t="s">
        <v>47</v>
      </c>
      <c r="E1394" s="67" t="s">
        <v>1140</v>
      </c>
      <c r="F1394" s="450">
        <f>ROUND(22,15)</f>
        <v>22</v>
      </c>
      <c r="G1394" s="440">
        <f t="shared" si="232"/>
        <v>1508.2622065977519</v>
      </c>
      <c r="H1394" s="451">
        <f>ROUND(F1394*G1394,15)</f>
        <v>33181.768545150502</v>
      </c>
      <c r="I1394" s="520">
        <v>1810.15</v>
      </c>
    </row>
    <row r="1395" spans="1:9" ht="15.75" thickTop="1" thickBot="1">
      <c r="A1395" s="51"/>
      <c r="B1395" s="52"/>
      <c r="C1395" s="52"/>
      <c r="D1395" s="136"/>
      <c r="E1395" s="676" t="s">
        <v>1135</v>
      </c>
      <c r="F1395" s="677"/>
      <c r="G1395" s="678">
        <f>H1393+H1394</f>
        <v>40408.195524057912</v>
      </c>
      <c r="H1395" s="679">
        <f>ROUND(G1395,15)</f>
        <v>40408.195524057897</v>
      </c>
      <c r="I1395" s="520"/>
    </row>
    <row r="1396" spans="1:9" ht="16.5" thickTop="1" thickBot="1">
      <c r="A1396" s="372" t="s">
        <v>1141</v>
      </c>
      <c r="B1396" s="373"/>
      <c r="C1396" s="373" t="s">
        <v>38</v>
      </c>
      <c r="D1396" s="374"/>
      <c r="E1396" s="375" t="s">
        <v>1142</v>
      </c>
      <c r="F1396" s="376"/>
      <c r="G1396" s="377">
        <f>G1398</f>
        <v>2544.0858467005</v>
      </c>
      <c r="H1396" s="378">
        <f>ROUND(G1396,15)</f>
        <v>2544.0858467005</v>
      </c>
      <c r="I1396" s="520"/>
    </row>
    <row r="1397" spans="1:9" ht="26.1" customHeight="1" thickTop="1" thickBot="1">
      <c r="A1397" s="98">
        <v>97886</v>
      </c>
      <c r="B1397" s="99" t="s">
        <v>45</v>
      </c>
      <c r="C1397" s="70" t="s">
        <v>46</v>
      </c>
      <c r="D1397" s="70" t="s">
        <v>47</v>
      </c>
      <c r="E1397" s="675" t="s">
        <v>1522</v>
      </c>
      <c r="F1397" s="444">
        <f>ROUND(19,15)</f>
        <v>19</v>
      </c>
      <c r="G1397" s="437">
        <f t="shared" ref="G1397" si="233">I1397*(100%-$I$14)</f>
        <v>133.89925508950014</v>
      </c>
      <c r="H1397" s="445">
        <f>ROUND(F1397*G1397,15)</f>
        <v>2544.0858467005</v>
      </c>
      <c r="I1397" s="520">
        <v>160.69999999999999</v>
      </c>
    </row>
    <row r="1398" spans="1:9" ht="15.75" thickTop="1" thickBot="1">
      <c r="A1398" s="85"/>
      <c r="B1398" s="86"/>
      <c r="C1398" s="86"/>
      <c r="D1398" s="112"/>
      <c r="E1398" s="691" t="s">
        <v>1141</v>
      </c>
      <c r="F1398" s="692"/>
      <c r="G1398" s="693">
        <f>H1397</f>
        <v>2544.0858467005</v>
      </c>
      <c r="H1398" s="694">
        <f>ROUND(G1398,15)</f>
        <v>2544.0858467005</v>
      </c>
      <c r="I1398" s="520"/>
    </row>
    <row r="1399" spans="1:9" ht="15" thickBot="1">
      <c r="A1399" s="75"/>
      <c r="B1399" s="76"/>
      <c r="C1399" s="76"/>
      <c r="D1399" s="113"/>
      <c r="E1399" s="695" t="s">
        <v>1067</v>
      </c>
      <c r="F1399" s="696"/>
      <c r="G1399" s="697">
        <f>H1391+H1395+H1398</f>
        <v>155920.57638236941</v>
      </c>
      <c r="H1399" s="698">
        <f>ROUND(G1399,15)</f>
        <v>155920.57638236901</v>
      </c>
      <c r="I1399" s="520"/>
    </row>
    <row r="1400" spans="1:9" ht="15" thickBot="1">
      <c r="A1400" s="114"/>
      <c r="B1400" s="115"/>
      <c r="C1400" s="115"/>
      <c r="D1400" s="116"/>
      <c r="E1400" s="699" t="s">
        <v>873</v>
      </c>
      <c r="F1400" s="700"/>
      <c r="G1400" s="701">
        <f>H1251+H1322+H1399</f>
        <v>349326.27322392381</v>
      </c>
      <c r="H1400" s="702">
        <f>ROUND(G1400,15)</f>
        <v>349326.27322392398</v>
      </c>
      <c r="I1400" s="520"/>
    </row>
    <row r="1401" spans="1:9" ht="15.75" thickTop="1" thickBot="1">
      <c r="A1401" s="244" t="s">
        <v>1143</v>
      </c>
      <c r="B1401" s="245"/>
      <c r="C1401" s="245" t="s">
        <v>38</v>
      </c>
      <c r="D1401" s="246"/>
      <c r="E1401" s="349" t="s">
        <v>1144</v>
      </c>
      <c r="F1401" s="248"/>
      <c r="G1401" s="249">
        <f>G1413</f>
        <v>66097.67416176229</v>
      </c>
      <c r="H1401" s="250">
        <f>ROUND(G1401,15)</f>
        <v>66097.674161762305</v>
      </c>
      <c r="I1401" s="520"/>
    </row>
    <row r="1402" spans="1:9" ht="15" thickBot="1">
      <c r="A1402" s="379" t="s">
        <v>1145</v>
      </c>
      <c r="B1402" s="380"/>
      <c r="C1402" s="380" t="s">
        <v>38</v>
      </c>
      <c r="D1402" s="381"/>
      <c r="E1402" s="382" t="s">
        <v>1146</v>
      </c>
      <c r="F1402" s="383"/>
      <c r="G1402" s="384">
        <f>G1408</f>
        <v>65681.111662761366</v>
      </c>
      <c r="H1402" s="385">
        <f>ROUND(G1402,15)</f>
        <v>65681.111662761396</v>
      </c>
      <c r="I1402" s="520"/>
    </row>
    <row r="1403" spans="1:9" ht="26.1" customHeight="1" thickTop="1" thickBot="1">
      <c r="A1403" s="90">
        <v>97327</v>
      </c>
      <c r="B1403" s="91" t="s">
        <v>45</v>
      </c>
      <c r="C1403" s="54" t="s">
        <v>46</v>
      </c>
      <c r="D1403" s="54" t="s">
        <v>68</v>
      </c>
      <c r="E1403" s="55" t="s">
        <v>1147</v>
      </c>
      <c r="F1403" s="436">
        <f>ROUND(132.3,15)</f>
        <v>132.30000000000001</v>
      </c>
      <c r="G1403" s="437">
        <f t="shared" ref="G1403:G1407" si="234">I1403*(100%-$I$14)</f>
        <v>17.531053684400021</v>
      </c>
      <c r="H1403" s="438">
        <f>ROUND(F1403*G1403,15)</f>
        <v>2319.3584024461202</v>
      </c>
      <c r="I1403" s="520">
        <v>21.04</v>
      </c>
    </row>
    <row r="1404" spans="1:9" ht="26.1" customHeight="1" thickBot="1">
      <c r="A1404" s="92">
        <v>97328</v>
      </c>
      <c r="B1404" s="93" t="s">
        <v>45</v>
      </c>
      <c r="C1404" s="58" t="s">
        <v>46</v>
      </c>
      <c r="D1404" s="58" t="s">
        <v>68</v>
      </c>
      <c r="E1404" s="59" t="s">
        <v>1148</v>
      </c>
      <c r="F1404" s="437">
        <f>ROUND(411,15)</f>
        <v>411</v>
      </c>
      <c r="G1404" s="437">
        <f t="shared" si="234"/>
        <v>30.337721703850033</v>
      </c>
      <c r="H1404" s="439">
        <f>ROUND(F1404*G1404,15)</f>
        <v>12468.803620282401</v>
      </c>
      <c r="I1404" s="520">
        <v>36.409999999999997</v>
      </c>
    </row>
    <row r="1405" spans="1:9" ht="26.1" customHeight="1" thickBot="1">
      <c r="A1405" s="92">
        <v>97330</v>
      </c>
      <c r="B1405" s="93" t="s">
        <v>45</v>
      </c>
      <c r="C1405" s="58" t="s">
        <v>46</v>
      </c>
      <c r="D1405" s="58" t="s">
        <v>68</v>
      </c>
      <c r="E1405" s="59" t="s">
        <v>1149</v>
      </c>
      <c r="F1405" s="437">
        <f>ROUND(132.3,15)</f>
        <v>132.30000000000001</v>
      </c>
      <c r="G1405" s="437">
        <f t="shared" si="234"/>
        <v>46.135667419450051</v>
      </c>
      <c r="H1405" s="439">
        <f>ROUND(F1405*G1405,15)</f>
        <v>6103.7487995932397</v>
      </c>
      <c r="I1405" s="520">
        <v>55.37</v>
      </c>
    </row>
    <row r="1406" spans="1:9" ht="26.1" customHeight="1" thickBot="1">
      <c r="A1406" s="92" t="s">
        <v>1150</v>
      </c>
      <c r="B1406" s="93" t="s">
        <v>148</v>
      </c>
      <c r="C1406" s="58" t="s">
        <v>46</v>
      </c>
      <c r="D1406" s="58" t="s">
        <v>68</v>
      </c>
      <c r="E1406" s="59" t="s">
        <v>1151</v>
      </c>
      <c r="F1406" s="437">
        <f>ROUND(411,15)</f>
        <v>411</v>
      </c>
      <c r="G1406" s="437">
        <f t="shared" si="234"/>
        <v>95.979186022150117</v>
      </c>
      <c r="H1406" s="439">
        <f>ROUND(F1406*G1406,15)</f>
        <v>39447.445455103698</v>
      </c>
      <c r="I1406" s="520">
        <v>115.19</v>
      </c>
    </row>
    <row r="1407" spans="1:9" ht="26.1" customHeight="1" thickBot="1">
      <c r="A1407" s="96">
        <v>91181</v>
      </c>
      <c r="B1407" s="97" t="s">
        <v>45</v>
      </c>
      <c r="C1407" s="60" t="s">
        <v>46</v>
      </c>
      <c r="D1407" s="60" t="s">
        <v>68</v>
      </c>
      <c r="E1407" s="61" t="s">
        <v>1152</v>
      </c>
      <c r="F1407" s="442">
        <f>ROUND(1086.6,15)</f>
        <v>1086.5999999999999</v>
      </c>
      <c r="G1407" s="437">
        <f t="shared" si="234"/>
        <v>4.9160274115000062</v>
      </c>
      <c r="H1407" s="443">
        <f>ROUND(F1407*G1407,15)</f>
        <v>5341.7553853359104</v>
      </c>
      <c r="I1407" s="520">
        <v>5.9</v>
      </c>
    </row>
    <row r="1408" spans="1:9" ht="15.75" thickTop="1" thickBot="1">
      <c r="A1408" s="51"/>
      <c r="B1408" s="52"/>
      <c r="C1408" s="52"/>
      <c r="D1408" s="136"/>
      <c r="E1408" s="683" t="s">
        <v>1145</v>
      </c>
      <c r="F1408" s="684"/>
      <c r="G1408" s="685">
        <f>H1403+H1404+H1405+H1406+H1407</f>
        <v>65681.111662761366</v>
      </c>
      <c r="H1408" s="686">
        <f>ROUND(G1408,15)</f>
        <v>65681.111662761396</v>
      </c>
      <c r="I1408" s="520"/>
    </row>
    <row r="1409" spans="1:9" ht="15.75" thickTop="1" thickBot="1">
      <c r="A1409" s="237" t="s">
        <v>1153</v>
      </c>
      <c r="B1409" s="238"/>
      <c r="C1409" s="238" t="s">
        <v>38</v>
      </c>
      <c r="D1409" s="239"/>
      <c r="E1409" s="348" t="s">
        <v>1154</v>
      </c>
      <c r="F1409" s="241"/>
      <c r="G1409" s="242">
        <f>G1412</f>
        <v>416.5624990009</v>
      </c>
      <c r="H1409" s="243">
        <f>ROUND(G1409,15)</f>
        <v>416.5624990009</v>
      </c>
      <c r="I1409" s="520"/>
    </row>
    <row r="1410" spans="1:9" ht="26.1" customHeight="1" thickTop="1" thickBot="1">
      <c r="A1410" s="90" t="s">
        <v>1155</v>
      </c>
      <c r="B1410" s="91" t="s">
        <v>57</v>
      </c>
      <c r="C1410" s="54" t="s">
        <v>46</v>
      </c>
      <c r="D1410" s="54" t="s">
        <v>47</v>
      </c>
      <c r="E1410" s="55" t="s">
        <v>1156</v>
      </c>
      <c r="F1410" s="436">
        <f>ROUND(2,15)</f>
        <v>2</v>
      </c>
      <c r="G1410" s="437">
        <f t="shared" ref="G1410:G1411" si="235">I1410*(100%-$I$14)</f>
        <v>128.11667369360015</v>
      </c>
      <c r="H1410" s="438">
        <f>ROUND(F1410*G1410,15)</f>
        <v>256.23334738720001</v>
      </c>
      <c r="I1410" s="520">
        <v>153.76</v>
      </c>
    </row>
    <row r="1411" spans="1:9" ht="26.1" customHeight="1" thickBot="1">
      <c r="A1411" s="96" t="s">
        <v>1157</v>
      </c>
      <c r="B1411" s="97" t="s">
        <v>57</v>
      </c>
      <c r="C1411" s="60" t="s">
        <v>46</v>
      </c>
      <c r="D1411" s="60" t="s">
        <v>47</v>
      </c>
      <c r="E1411" s="61" t="s">
        <v>1158</v>
      </c>
      <c r="F1411" s="442">
        <f>ROUND(2,15)</f>
        <v>2</v>
      </c>
      <c r="G1411" s="437">
        <f t="shared" si="235"/>
        <v>80.164575806850095</v>
      </c>
      <c r="H1411" s="443">
        <f>ROUND(F1411*G1411,15)</f>
        <v>160.32915161369999</v>
      </c>
      <c r="I1411" s="520">
        <v>96.21</v>
      </c>
    </row>
    <row r="1412" spans="1:9" ht="15.75" thickTop="1" thickBot="1">
      <c r="A1412" s="85"/>
      <c r="B1412" s="86"/>
      <c r="C1412" s="86"/>
      <c r="D1412" s="112"/>
      <c r="E1412" s="683" t="s">
        <v>1153</v>
      </c>
      <c r="F1412" s="684"/>
      <c r="G1412" s="685">
        <f>H1410+H1411</f>
        <v>416.5624990009</v>
      </c>
      <c r="H1412" s="686">
        <f>ROUND(G1412,15)</f>
        <v>416.5624990009</v>
      </c>
      <c r="I1412" s="520"/>
    </row>
    <row r="1413" spans="1:9" ht="15.75" thickTop="1" thickBot="1">
      <c r="A1413" s="114"/>
      <c r="B1413" s="115"/>
      <c r="C1413" s="115"/>
      <c r="D1413" s="116"/>
      <c r="E1413" s="687" t="s">
        <v>1143</v>
      </c>
      <c r="F1413" s="688"/>
      <c r="G1413" s="689">
        <f>H1408+H1412</f>
        <v>66097.67416176229</v>
      </c>
      <c r="H1413" s="690">
        <f>ROUND(G1413,15)</f>
        <v>66097.674161762305</v>
      </c>
      <c r="I1413" s="520"/>
    </row>
    <row r="1414" spans="1:9" ht="15.75" thickTop="1" thickBot="1">
      <c r="A1414" s="244" t="s">
        <v>1159</v>
      </c>
      <c r="B1414" s="245"/>
      <c r="C1414" s="245" t="s">
        <v>38</v>
      </c>
      <c r="D1414" s="246"/>
      <c r="E1414" s="349" t="s">
        <v>1160</v>
      </c>
      <c r="F1414" s="248"/>
      <c r="G1414" s="249">
        <f>G1471</f>
        <v>22120.331918032247</v>
      </c>
      <c r="H1414" s="250">
        <f>ROUND(G1414,15)</f>
        <v>22120.3319180322</v>
      </c>
      <c r="I1414" s="520"/>
    </row>
    <row r="1415" spans="1:9" ht="15" thickBot="1">
      <c r="A1415" s="379" t="s">
        <v>1161</v>
      </c>
      <c r="B1415" s="380"/>
      <c r="C1415" s="380" t="s">
        <v>38</v>
      </c>
      <c r="D1415" s="381"/>
      <c r="E1415" s="382" t="s">
        <v>1162</v>
      </c>
      <c r="F1415" s="383"/>
      <c r="G1415" s="384">
        <f>G1426</f>
        <v>1804.3903662667512</v>
      </c>
      <c r="H1415" s="385">
        <f>ROUND(G1415,15)</f>
        <v>1804.3903662667501</v>
      </c>
      <c r="I1415" s="520"/>
    </row>
    <row r="1416" spans="1:9" ht="15.75" thickTop="1" thickBot="1">
      <c r="A1416" s="100" t="s">
        <v>1163</v>
      </c>
      <c r="B1416" s="101" t="s">
        <v>57</v>
      </c>
      <c r="C1416" s="64" t="s">
        <v>46</v>
      </c>
      <c r="D1416" s="64" t="s">
        <v>47</v>
      </c>
      <c r="E1416" s="65" t="s">
        <v>1164</v>
      </c>
      <c r="F1416" s="446">
        <f>ROUND(7,15)</f>
        <v>7</v>
      </c>
      <c r="G1416" s="440">
        <f t="shared" ref="G1416:G1425" si="236">I1416*(100%-$I$14)</f>
        <v>28.171336742850034</v>
      </c>
      <c r="H1416" s="447">
        <f t="shared" ref="H1416:H1425" si="237">ROUND(F1416*G1416,15)</f>
        <v>197.19935719994999</v>
      </c>
      <c r="I1416" s="520">
        <v>33.81</v>
      </c>
    </row>
    <row r="1417" spans="1:9" ht="26.1" customHeight="1" thickBot="1">
      <c r="A1417" s="92" t="s">
        <v>1165</v>
      </c>
      <c r="B1417" s="93" t="s">
        <v>57</v>
      </c>
      <c r="C1417" s="58" t="s">
        <v>46</v>
      </c>
      <c r="D1417" s="58" t="s">
        <v>47</v>
      </c>
      <c r="E1417" s="59" t="s">
        <v>1409</v>
      </c>
      <c r="F1417" s="437">
        <f>ROUND(1,15)</f>
        <v>1</v>
      </c>
      <c r="G1417" s="437">
        <f t="shared" si="236"/>
        <v>42.87775772810005</v>
      </c>
      <c r="H1417" s="439">
        <f t="shared" si="237"/>
        <v>42.8777577281001</v>
      </c>
      <c r="I1417" s="520">
        <v>51.46</v>
      </c>
    </row>
    <row r="1418" spans="1:9" ht="26.1" customHeight="1" thickBot="1">
      <c r="A1418" s="92" t="s">
        <v>1166</v>
      </c>
      <c r="B1418" s="93" t="s">
        <v>57</v>
      </c>
      <c r="C1418" s="58" t="s">
        <v>46</v>
      </c>
      <c r="D1418" s="58" t="s">
        <v>47</v>
      </c>
      <c r="E1418" s="59" t="s">
        <v>1167</v>
      </c>
      <c r="F1418" s="437">
        <f>ROUND(14,15)</f>
        <v>14</v>
      </c>
      <c r="G1418" s="437">
        <f t="shared" si="236"/>
        <v>25.280046044900029</v>
      </c>
      <c r="H1418" s="439">
        <f t="shared" si="237"/>
        <v>353.92064462859997</v>
      </c>
      <c r="I1418" s="520">
        <v>30.34</v>
      </c>
    </row>
    <row r="1419" spans="1:9" ht="26.1" customHeight="1" thickBot="1">
      <c r="A1419" s="92" t="s">
        <v>1168</v>
      </c>
      <c r="B1419" s="93" t="s">
        <v>57</v>
      </c>
      <c r="C1419" s="58" t="s">
        <v>46</v>
      </c>
      <c r="D1419" s="58" t="s">
        <v>47</v>
      </c>
      <c r="E1419" s="59" t="s">
        <v>1169</v>
      </c>
      <c r="F1419" s="437">
        <f>ROUND(4,15)</f>
        <v>4</v>
      </c>
      <c r="G1419" s="437">
        <f t="shared" si="236"/>
        <v>25.280046044900029</v>
      </c>
      <c r="H1419" s="439">
        <f t="shared" si="237"/>
        <v>101.1201841796</v>
      </c>
      <c r="I1419" s="520">
        <v>30.34</v>
      </c>
    </row>
    <row r="1420" spans="1:9" ht="26.1" customHeight="1" thickBot="1">
      <c r="A1420" s="92" t="s">
        <v>1170</v>
      </c>
      <c r="B1420" s="93" t="s">
        <v>57</v>
      </c>
      <c r="C1420" s="58" t="s">
        <v>46</v>
      </c>
      <c r="D1420" s="58" t="s">
        <v>47</v>
      </c>
      <c r="E1420" s="59" t="s">
        <v>1171</v>
      </c>
      <c r="F1420" s="437">
        <f>ROUND(2,15)</f>
        <v>2</v>
      </c>
      <c r="G1420" s="437">
        <f t="shared" si="236"/>
        <v>25.280046044900029</v>
      </c>
      <c r="H1420" s="439">
        <f t="shared" si="237"/>
        <v>50.560092089800101</v>
      </c>
      <c r="I1420" s="520">
        <v>30.34</v>
      </c>
    </row>
    <row r="1421" spans="1:9" ht="26.1" customHeight="1" thickBot="1">
      <c r="A1421" s="92" t="s">
        <v>1172</v>
      </c>
      <c r="B1421" s="93" t="s">
        <v>57</v>
      </c>
      <c r="C1421" s="58" t="s">
        <v>46</v>
      </c>
      <c r="D1421" s="58" t="s">
        <v>47</v>
      </c>
      <c r="E1421" s="59" t="s">
        <v>1173</v>
      </c>
      <c r="F1421" s="437">
        <f>ROUND(20,15)</f>
        <v>20</v>
      </c>
      <c r="G1421" s="437">
        <f t="shared" si="236"/>
        <v>25.280046044900029</v>
      </c>
      <c r="H1421" s="439">
        <f t="shared" si="237"/>
        <v>505.60092089800099</v>
      </c>
      <c r="I1421" s="520">
        <v>30.34</v>
      </c>
    </row>
    <row r="1422" spans="1:9" ht="26.1" customHeight="1" thickBot="1">
      <c r="A1422" s="92" t="s">
        <v>1174</v>
      </c>
      <c r="B1422" s="93" t="s">
        <v>57</v>
      </c>
      <c r="C1422" s="58" t="s">
        <v>46</v>
      </c>
      <c r="D1422" s="58" t="s">
        <v>47</v>
      </c>
      <c r="E1422" s="59" t="s">
        <v>1175</v>
      </c>
      <c r="F1422" s="437">
        <f>ROUND(3,15)</f>
        <v>3</v>
      </c>
      <c r="G1422" s="437">
        <f t="shared" si="236"/>
        <v>28.171336742850034</v>
      </c>
      <c r="H1422" s="439">
        <f t="shared" si="237"/>
        <v>84.514010228550106</v>
      </c>
      <c r="I1422" s="520">
        <v>33.81</v>
      </c>
    </row>
    <row r="1423" spans="1:9" ht="15.95" customHeight="1" thickBot="1">
      <c r="A1423" s="94" t="s">
        <v>1176</v>
      </c>
      <c r="B1423" s="95" t="s">
        <v>57</v>
      </c>
      <c r="C1423" s="74" t="s">
        <v>46</v>
      </c>
      <c r="D1423" s="74" t="s">
        <v>47</v>
      </c>
      <c r="E1423" s="78" t="s">
        <v>1177</v>
      </c>
      <c r="F1423" s="440">
        <f>ROUND(14,15)</f>
        <v>14</v>
      </c>
      <c r="G1423" s="440">
        <f t="shared" si="236"/>
        <v>28.171336742850034</v>
      </c>
      <c r="H1423" s="441">
        <f t="shared" si="237"/>
        <v>394.39871439989997</v>
      </c>
      <c r="I1423" s="520">
        <v>33.81</v>
      </c>
    </row>
    <row r="1424" spans="1:9" ht="26.1" customHeight="1" thickBot="1">
      <c r="A1424" s="92" t="s">
        <v>1178</v>
      </c>
      <c r="B1424" s="93" t="s">
        <v>57</v>
      </c>
      <c r="C1424" s="58" t="s">
        <v>46</v>
      </c>
      <c r="D1424" s="58" t="s">
        <v>47</v>
      </c>
      <c r="E1424" s="59" t="s">
        <v>1179</v>
      </c>
      <c r="F1424" s="437">
        <f>ROUND(2,15)</f>
        <v>2</v>
      </c>
      <c r="G1424" s="437">
        <f t="shared" si="236"/>
        <v>28.171336742850034</v>
      </c>
      <c r="H1424" s="439">
        <f t="shared" si="237"/>
        <v>56.342673485700097</v>
      </c>
      <c r="I1424" s="520">
        <v>33.81</v>
      </c>
    </row>
    <row r="1425" spans="1:9" ht="26.1" customHeight="1" thickBot="1">
      <c r="A1425" s="96" t="s">
        <v>1180</v>
      </c>
      <c r="B1425" s="97" t="s">
        <v>57</v>
      </c>
      <c r="C1425" s="60" t="s">
        <v>46</v>
      </c>
      <c r="D1425" s="60" t="s">
        <v>47</v>
      </c>
      <c r="E1425" s="61" t="s">
        <v>1181</v>
      </c>
      <c r="F1425" s="442">
        <f>ROUND(1,15)</f>
        <v>1</v>
      </c>
      <c r="G1425" s="437">
        <f t="shared" si="236"/>
        <v>17.856011428550019</v>
      </c>
      <c r="H1425" s="443">
        <f t="shared" si="237"/>
        <v>17.856011428550001</v>
      </c>
      <c r="I1425" s="520">
        <v>21.43</v>
      </c>
    </row>
    <row r="1426" spans="1:9" ht="15.75" thickTop="1" thickBot="1">
      <c r="A1426" s="51"/>
      <c r="B1426" s="52"/>
      <c r="C1426" s="52"/>
      <c r="D1426" s="136"/>
      <c r="E1426" s="683" t="s">
        <v>1161</v>
      </c>
      <c r="F1426" s="684"/>
      <c r="G1426" s="685">
        <f>H1416+H1417+H1418+H1419+H1420+H1421+H1422+H1423+H1424+H1425</f>
        <v>1804.3903662667512</v>
      </c>
      <c r="H1426" s="686">
        <f>ROUND(G1426,15)</f>
        <v>1804.3903662667501</v>
      </c>
      <c r="I1426" s="520"/>
    </row>
    <row r="1427" spans="1:9" ht="15.75" thickTop="1" thickBot="1">
      <c r="A1427" s="237" t="s">
        <v>1182</v>
      </c>
      <c r="B1427" s="238"/>
      <c r="C1427" s="238" t="s">
        <v>38</v>
      </c>
      <c r="D1427" s="239"/>
      <c r="E1427" s="348" t="s">
        <v>1183</v>
      </c>
      <c r="F1427" s="241"/>
      <c r="G1427" s="242">
        <f>G1430</f>
        <v>2060.9986648971999</v>
      </c>
      <c r="H1427" s="243">
        <f>ROUND(G1427,15)</f>
        <v>2060.9986648971999</v>
      </c>
      <c r="I1427" s="520"/>
    </row>
    <row r="1428" spans="1:9" ht="15.75" thickTop="1" thickBot="1">
      <c r="A1428" s="100">
        <v>101906</v>
      </c>
      <c r="B1428" s="101" t="s">
        <v>45</v>
      </c>
      <c r="C1428" s="64" t="s">
        <v>46</v>
      </c>
      <c r="D1428" s="64" t="s">
        <v>47</v>
      </c>
      <c r="E1428" s="65" t="s">
        <v>1523</v>
      </c>
      <c r="F1428" s="446">
        <f>ROUND(1,15)</f>
        <v>1</v>
      </c>
      <c r="G1428" s="440">
        <f t="shared" ref="G1428:G1429" si="238">I1428*(100%-$I$14)</f>
        <v>431.7271937279005</v>
      </c>
      <c r="H1428" s="447">
        <f>ROUND(F1428*G1428,15)</f>
        <v>431.72719372789999</v>
      </c>
      <c r="I1428" s="520">
        <v>518.14</v>
      </c>
    </row>
    <row r="1429" spans="1:9" ht="15" thickBot="1">
      <c r="A1429" s="102" t="s">
        <v>1184</v>
      </c>
      <c r="B1429" s="103" t="s">
        <v>148</v>
      </c>
      <c r="C1429" s="66" t="s">
        <v>46</v>
      </c>
      <c r="D1429" s="66" t="s">
        <v>47</v>
      </c>
      <c r="E1429" s="67" t="s">
        <v>1185</v>
      </c>
      <c r="F1429" s="450">
        <f>ROUND(14,15)</f>
        <v>14</v>
      </c>
      <c r="G1429" s="440">
        <f t="shared" si="238"/>
        <v>116.37653365495012</v>
      </c>
      <c r="H1429" s="451">
        <f>ROUND(F1429*G1429,15)</f>
        <v>1629.2714711693</v>
      </c>
      <c r="I1429" s="520">
        <v>139.66999999999999</v>
      </c>
    </row>
    <row r="1430" spans="1:9" ht="15.75" thickTop="1" thickBot="1">
      <c r="A1430" s="51"/>
      <c r="B1430" s="52"/>
      <c r="C1430" s="52"/>
      <c r="D1430" s="136"/>
      <c r="E1430" s="683" t="s">
        <v>1182</v>
      </c>
      <c r="F1430" s="684"/>
      <c r="G1430" s="685">
        <f>H1428+H1429</f>
        <v>2060.9986648971999</v>
      </c>
      <c r="H1430" s="686">
        <f>ROUND(G1430,15)</f>
        <v>2060.9986648971999</v>
      </c>
      <c r="I1430" s="520"/>
    </row>
    <row r="1431" spans="1:9" ht="15.75" thickTop="1" thickBot="1">
      <c r="A1431" s="237" t="s">
        <v>1186</v>
      </c>
      <c r="B1431" s="238"/>
      <c r="C1431" s="238" t="s">
        <v>38</v>
      </c>
      <c r="D1431" s="239"/>
      <c r="E1431" s="348" t="s">
        <v>1187</v>
      </c>
      <c r="F1431" s="241"/>
      <c r="G1431" s="242">
        <f>G1435</f>
        <v>3967.0008180847003</v>
      </c>
      <c r="H1431" s="243">
        <f>ROUND(G1431,15)</f>
        <v>3967.0008180846999</v>
      </c>
      <c r="I1431" s="520"/>
    </row>
    <row r="1432" spans="1:9" ht="15.75" thickTop="1" thickBot="1">
      <c r="A1432" s="100">
        <v>97599</v>
      </c>
      <c r="B1432" s="101" t="s">
        <v>45</v>
      </c>
      <c r="C1432" s="64" t="s">
        <v>46</v>
      </c>
      <c r="D1432" s="64" t="s">
        <v>47</v>
      </c>
      <c r="E1432" s="65" t="s">
        <v>1188</v>
      </c>
      <c r="F1432" s="446">
        <f>ROUND(41,15)</f>
        <v>41</v>
      </c>
      <c r="G1432" s="440">
        <f t="shared" ref="G1432:G1434" si="239">I1432*(100%-$I$14)</f>
        <v>27.446431005900031</v>
      </c>
      <c r="H1432" s="447">
        <f>ROUND(F1432*G1432,15)</f>
        <v>1125.3036712419</v>
      </c>
      <c r="I1432" s="520">
        <v>32.94</v>
      </c>
    </row>
    <row r="1433" spans="1:9" ht="26.1" customHeight="1" thickBot="1">
      <c r="A1433" s="92" t="s">
        <v>1189</v>
      </c>
      <c r="B1433" s="93" t="s">
        <v>148</v>
      </c>
      <c r="C1433" s="58" t="s">
        <v>46</v>
      </c>
      <c r="D1433" s="58" t="s">
        <v>47</v>
      </c>
      <c r="E1433" s="59" t="s">
        <v>1190</v>
      </c>
      <c r="F1433" s="437">
        <f>ROUND(3,15)</f>
        <v>3</v>
      </c>
      <c r="G1433" s="437">
        <f t="shared" si="239"/>
        <v>29.462835469600034</v>
      </c>
      <c r="H1433" s="439">
        <f>ROUND(F1433*G1433,15)</f>
        <v>88.388506408800097</v>
      </c>
      <c r="I1433" s="520">
        <v>35.36</v>
      </c>
    </row>
    <row r="1434" spans="1:9" ht="26.1" customHeight="1" thickBot="1">
      <c r="A1434" s="96" t="s">
        <v>1191</v>
      </c>
      <c r="B1434" s="97" t="s">
        <v>57</v>
      </c>
      <c r="C1434" s="60" t="s">
        <v>46</v>
      </c>
      <c r="D1434" s="60" t="s">
        <v>47</v>
      </c>
      <c r="E1434" s="61" t="s">
        <v>1408</v>
      </c>
      <c r="F1434" s="442">
        <f>ROUND(11,15)</f>
        <v>11</v>
      </c>
      <c r="G1434" s="437">
        <f t="shared" si="239"/>
        <v>250.30078549400028</v>
      </c>
      <c r="H1434" s="443">
        <f>ROUND(F1434*G1434,15)</f>
        <v>2753.3086404340002</v>
      </c>
      <c r="I1434" s="520">
        <v>300.39999999999998</v>
      </c>
    </row>
    <row r="1435" spans="1:9" ht="15.75" thickTop="1" thickBot="1">
      <c r="A1435" s="51"/>
      <c r="B1435" s="52"/>
      <c r="C1435" s="52"/>
      <c r="D1435" s="136"/>
      <c r="E1435" s="683" t="s">
        <v>1186</v>
      </c>
      <c r="F1435" s="684"/>
      <c r="G1435" s="685">
        <f>H1432+H1433+H1434</f>
        <v>3967.0008180847003</v>
      </c>
      <c r="H1435" s="686">
        <f>ROUND(G1435,15)</f>
        <v>3967.0008180846999</v>
      </c>
      <c r="I1435" s="520"/>
    </row>
    <row r="1436" spans="1:9" ht="15.75" thickTop="1" thickBot="1">
      <c r="A1436" s="237" t="s">
        <v>1192</v>
      </c>
      <c r="B1436" s="238"/>
      <c r="C1436" s="238" t="s">
        <v>38</v>
      </c>
      <c r="D1436" s="239"/>
      <c r="E1436" s="348" t="s">
        <v>1193</v>
      </c>
      <c r="F1436" s="241"/>
      <c r="G1436" s="242">
        <f>G1459</f>
        <v>13453.800536300107</v>
      </c>
      <c r="H1436" s="243">
        <f>ROUND(G1436,15)</f>
        <v>13453.800536300099</v>
      </c>
      <c r="I1436" s="520"/>
    </row>
    <row r="1437" spans="1:9" ht="36" customHeight="1" thickTop="1" thickBot="1">
      <c r="A1437" s="90" t="s">
        <v>1194</v>
      </c>
      <c r="B1437" s="91" t="s">
        <v>148</v>
      </c>
      <c r="C1437" s="54" t="s">
        <v>46</v>
      </c>
      <c r="D1437" s="54" t="s">
        <v>47</v>
      </c>
      <c r="E1437" s="55" t="s">
        <v>1195</v>
      </c>
      <c r="F1437" s="436">
        <f>ROUND(2,15)</f>
        <v>2</v>
      </c>
      <c r="G1437" s="437">
        <f t="shared" ref="G1437:G1458" si="240">I1437*(100%-$I$14)</f>
        <v>1057.8374442064512</v>
      </c>
      <c r="H1437" s="438">
        <f t="shared" ref="H1437:H1458" si="241">ROUND(F1437*G1437,15)</f>
        <v>2115.6748884129001</v>
      </c>
      <c r="I1437" s="520">
        <v>1269.57</v>
      </c>
    </row>
    <row r="1438" spans="1:9" ht="26.1" customHeight="1" thickBot="1">
      <c r="A1438" s="92" t="s">
        <v>1196</v>
      </c>
      <c r="B1438" s="93" t="s">
        <v>57</v>
      </c>
      <c r="C1438" s="58" t="s">
        <v>46</v>
      </c>
      <c r="D1438" s="58" t="s">
        <v>47</v>
      </c>
      <c r="E1438" s="59" t="s">
        <v>1197</v>
      </c>
      <c r="F1438" s="437">
        <f>ROUND(1,15)</f>
        <v>1</v>
      </c>
      <c r="G1438" s="437">
        <f t="shared" si="240"/>
        <v>871.65332130820093</v>
      </c>
      <c r="H1438" s="439">
        <f t="shared" si="241"/>
        <v>871.65332130820104</v>
      </c>
      <c r="I1438" s="520">
        <v>1046.1199999999999</v>
      </c>
    </row>
    <row r="1439" spans="1:9" ht="26.1" customHeight="1" thickBot="1">
      <c r="A1439" s="92">
        <v>97498</v>
      </c>
      <c r="B1439" s="93" t="s">
        <v>45</v>
      </c>
      <c r="C1439" s="58" t="s">
        <v>46</v>
      </c>
      <c r="D1439" s="58" t="s">
        <v>68</v>
      </c>
      <c r="E1439" s="59" t="s">
        <v>1198</v>
      </c>
      <c r="F1439" s="437">
        <f>ROUND(9,15)</f>
        <v>9</v>
      </c>
      <c r="G1439" s="437">
        <f t="shared" si="240"/>
        <v>31.220940187950035</v>
      </c>
      <c r="H1439" s="439">
        <f t="shared" si="241"/>
        <v>280.98846169155001</v>
      </c>
      <c r="I1439" s="520">
        <v>37.47</v>
      </c>
    </row>
    <row r="1440" spans="1:9" ht="26.1" customHeight="1" thickBot="1">
      <c r="A1440" s="92">
        <v>92367</v>
      </c>
      <c r="B1440" s="93" t="s">
        <v>45</v>
      </c>
      <c r="C1440" s="58" t="s">
        <v>46</v>
      </c>
      <c r="D1440" s="58" t="s">
        <v>68</v>
      </c>
      <c r="E1440" s="59" t="s">
        <v>1199</v>
      </c>
      <c r="F1440" s="437">
        <f>ROUND(48,15)</f>
        <v>48</v>
      </c>
      <c r="G1440" s="437">
        <f t="shared" si="240"/>
        <v>75.756815636200088</v>
      </c>
      <c r="H1440" s="439">
        <f t="shared" si="241"/>
        <v>3636.3271505376001</v>
      </c>
      <c r="I1440" s="520">
        <v>90.92</v>
      </c>
    </row>
    <row r="1441" spans="1:9" ht="26.1" customHeight="1" thickBot="1">
      <c r="A1441" s="92">
        <v>92368</v>
      </c>
      <c r="B1441" s="93" t="s">
        <v>45</v>
      </c>
      <c r="C1441" s="58" t="s">
        <v>46</v>
      </c>
      <c r="D1441" s="58" t="s">
        <v>68</v>
      </c>
      <c r="E1441" s="59" t="s">
        <v>1200</v>
      </c>
      <c r="F1441" s="437">
        <f>ROUND(7,15)</f>
        <v>7</v>
      </c>
      <c r="G1441" s="437">
        <f t="shared" si="240"/>
        <v>100.12864644745012</v>
      </c>
      <c r="H1441" s="439">
        <f t="shared" si="241"/>
        <v>700.90052513215096</v>
      </c>
      <c r="I1441" s="520">
        <v>120.17</v>
      </c>
    </row>
    <row r="1442" spans="1:9" ht="26.1" customHeight="1" thickBot="1">
      <c r="A1442" s="92">
        <v>92382</v>
      </c>
      <c r="B1442" s="93" t="s">
        <v>45</v>
      </c>
      <c r="C1442" s="58" t="s">
        <v>46</v>
      </c>
      <c r="D1442" s="58" t="s">
        <v>47</v>
      </c>
      <c r="E1442" s="59" t="s">
        <v>1201</v>
      </c>
      <c r="F1442" s="437">
        <f>ROUND(4,15)</f>
        <v>4</v>
      </c>
      <c r="G1442" s="437">
        <f t="shared" si="240"/>
        <v>32.287468168750038</v>
      </c>
      <c r="H1442" s="439">
        <f t="shared" si="241"/>
        <v>129.14987267500001</v>
      </c>
      <c r="I1442" s="520">
        <v>38.75</v>
      </c>
    </row>
    <row r="1443" spans="1:9" ht="26.1" customHeight="1" thickBot="1">
      <c r="A1443" s="92">
        <v>92390</v>
      </c>
      <c r="B1443" s="93" t="s">
        <v>45</v>
      </c>
      <c r="C1443" s="58" t="s">
        <v>46</v>
      </c>
      <c r="D1443" s="58" t="s">
        <v>47</v>
      </c>
      <c r="E1443" s="59" t="s">
        <v>1202</v>
      </c>
      <c r="F1443" s="437">
        <f>ROUND(2,15)</f>
        <v>2</v>
      </c>
      <c r="G1443" s="437">
        <f t="shared" si="240"/>
        <v>80.139579057300097</v>
      </c>
      <c r="H1443" s="439">
        <f t="shared" si="241"/>
        <v>160.27915811459999</v>
      </c>
      <c r="I1443" s="520">
        <v>96.18</v>
      </c>
    </row>
    <row r="1444" spans="1:9" ht="26.1" customHeight="1" thickBot="1">
      <c r="A1444" s="92">
        <v>92636</v>
      </c>
      <c r="B1444" s="93" t="s">
        <v>45</v>
      </c>
      <c r="C1444" s="58" t="s">
        <v>46</v>
      </c>
      <c r="D1444" s="58" t="s">
        <v>47</v>
      </c>
      <c r="E1444" s="59" t="s">
        <v>1203</v>
      </c>
      <c r="F1444" s="437">
        <f>ROUND(3,15)</f>
        <v>3</v>
      </c>
      <c r="G1444" s="437">
        <f t="shared" si="240"/>
        <v>102.27003465890012</v>
      </c>
      <c r="H1444" s="439">
        <f t="shared" si="241"/>
        <v>306.81010397670002</v>
      </c>
      <c r="I1444" s="520">
        <v>122.74</v>
      </c>
    </row>
    <row r="1445" spans="1:9" ht="26.1" customHeight="1" thickBot="1">
      <c r="A1445" s="92">
        <v>92378</v>
      </c>
      <c r="B1445" s="93" t="s">
        <v>45</v>
      </c>
      <c r="C1445" s="58" t="s">
        <v>46</v>
      </c>
      <c r="D1445" s="58" t="s">
        <v>47</v>
      </c>
      <c r="E1445" s="59" t="s">
        <v>1204</v>
      </c>
      <c r="F1445" s="437">
        <f>ROUND(3,15)</f>
        <v>3</v>
      </c>
      <c r="G1445" s="437">
        <f t="shared" si="240"/>
        <v>55.251148755350066</v>
      </c>
      <c r="H1445" s="439">
        <f t="shared" si="241"/>
        <v>165.75344626604999</v>
      </c>
      <c r="I1445" s="520">
        <v>66.31</v>
      </c>
    </row>
    <row r="1446" spans="1:9" ht="26.1" customHeight="1" thickBot="1">
      <c r="A1446" s="92">
        <v>92377</v>
      </c>
      <c r="B1446" s="93" t="s">
        <v>45</v>
      </c>
      <c r="C1446" s="58" t="s">
        <v>46</v>
      </c>
      <c r="D1446" s="58" t="s">
        <v>47</v>
      </c>
      <c r="E1446" s="59" t="s">
        <v>1205</v>
      </c>
      <c r="F1446" s="437">
        <f>ROUND(5,15)</f>
        <v>5</v>
      </c>
      <c r="G1446" s="437">
        <f t="shared" si="240"/>
        <v>50.460105091600063</v>
      </c>
      <c r="H1446" s="439">
        <f t="shared" si="241"/>
        <v>252.30052545800001</v>
      </c>
      <c r="I1446" s="520">
        <v>60.56</v>
      </c>
    </row>
    <row r="1447" spans="1:9" ht="26.1" customHeight="1" thickBot="1">
      <c r="A1447" s="92">
        <v>92642</v>
      </c>
      <c r="B1447" s="93" t="s">
        <v>45</v>
      </c>
      <c r="C1447" s="58" t="s">
        <v>46</v>
      </c>
      <c r="D1447" s="58" t="s">
        <v>47</v>
      </c>
      <c r="E1447" s="59" t="s">
        <v>1206</v>
      </c>
      <c r="F1447" s="437">
        <f>ROUND(2,15)</f>
        <v>2</v>
      </c>
      <c r="G1447" s="437">
        <f t="shared" si="240"/>
        <v>109.19413428425014</v>
      </c>
      <c r="H1447" s="439">
        <f t="shared" si="241"/>
        <v>218.3882685685</v>
      </c>
      <c r="I1447" s="520">
        <v>131.05000000000001</v>
      </c>
    </row>
    <row r="1448" spans="1:9" ht="26.1" customHeight="1" thickBot="1">
      <c r="A1448" s="92">
        <v>92644</v>
      </c>
      <c r="B1448" s="93" t="s">
        <v>45</v>
      </c>
      <c r="C1448" s="58" t="s">
        <v>46</v>
      </c>
      <c r="D1448" s="58" t="s">
        <v>47</v>
      </c>
      <c r="E1448" s="59" t="s">
        <v>1207</v>
      </c>
      <c r="F1448" s="437">
        <f>ROUND(2,15)</f>
        <v>2</v>
      </c>
      <c r="G1448" s="437">
        <f t="shared" si="240"/>
        <v>135.54070830995016</v>
      </c>
      <c r="H1448" s="439">
        <f t="shared" si="241"/>
        <v>271.08141661989998</v>
      </c>
      <c r="I1448" s="520">
        <v>162.66999999999999</v>
      </c>
    </row>
    <row r="1449" spans="1:9" ht="15" thickBot="1">
      <c r="A1449" s="94" t="s">
        <v>1208</v>
      </c>
      <c r="B1449" s="95" t="s">
        <v>57</v>
      </c>
      <c r="C1449" s="74" t="s">
        <v>46</v>
      </c>
      <c r="D1449" s="74" t="s">
        <v>47</v>
      </c>
      <c r="E1449" s="78" t="s">
        <v>1209</v>
      </c>
      <c r="F1449" s="440">
        <f>ROUND(1,15)</f>
        <v>1</v>
      </c>
      <c r="G1449" s="440">
        <f t="shared" si="240"/>
        <v>148.19739583210017</v>
      </c>
      <c r="H1449" s="441">
        <f t="shared" si="241"/>
        <v>148.1973958321</v>
      </c>
      <c r="I1449" s="520">
        <v>177.86</v>
      </c>
    </row>
    <row r="1450" spans="1:9" ht="36" customHeight="1" thickBot="1">
      <c r="A1450" s="92">
        <v>94495</v>
      </c>
      <c r="B1450" s="93" t="s">
        <v>45</v>
      </c>
      <c r="C1450" s="58" t="s">
        <v>46</v>
      </c>
      <c r="D1450" s="58" t="s">
        <v>47</v>
      </c>
      <c r="E1450" s="59" t="s">
        <v>1428</v>
      </c>
      <c r="F1450" s="437">
        <f>ROUND(4,15)</f>
        <v>4</v>
      </c>
      <c r="G1450" s="437">
        <f t="shared" si="240"/>
        <v>66.099738060050072</v>
      </c>
      <c r="H1450" s="439">
        <f t="shared" si="241"/>
        <v>264.3989522402</v>
      </c>
      <c r="I1450" s="520">
        <v>79.33</v>
      </c>
    </row>
    <row r="1451" spans="1:9" ht="36" customHeight="1" thickBot="1">
      <c r="A1451" s="92">
        <v>94499</v>
      </c>
      <c r="B1451" s="93" t="s">
        <v>45</v>
      </c>
      <c r="C1451" s="58" t="s">
        <v>46</v>
      </c>
      <c r="D1451" s="58" t="s">
        <v>47</v>
      </c>
      <c r="E1451" s="59" t="s">
        <v>1427</v>
      </c>
      <c r="F1451" s="437">
        <f>ROUND(3,15)</f>
        <v>3</v>
      </c>
      <c r="G1451" s="437">
        <f t="shared" si="240"/>
        <v>226.08726742990024</v>
      </c>
      <c r="H1451" s="439">
        <f t="shared" si="241"/>
        <v>678.261802289701</v>
      </c>
      <c r="I1451" s="520">
        <v>271.33999999999997</v>
      </c>
    </row>
    <row r="1452" spans="1:9" ht="36" customHeight="1" thickBot="1">
      <c r="A1452" s="92">
        <v>94500</v>
      </c>
      <c r="B1452" s="93" t="s">
        <v>45</v>
      </c>
      <c r="C1452" s="58" t="s">
        <v>46</v>
      </c>
      <c r="D1452" s="58" t="s">
        <v>47</v>
      </c>
      <c r="E1452" s="59" t="s">
        <v>1429</v>
      </c>
      <c r="F1452" s="437">
        <f>ROUND(4,15)</f>
        <v>4</v>
      </c>
      <c r="G1452" s="437">
        <f t="shared" si="240"/>
        <v>269.00668640725036</v>
      </c>
      <c r="H1452" s="439">
        <f t="shared" si="241"/>
        <v>1076.0267456290001</v>
      </c>
      <c r="I1452" s="520">
        <v>322.85000000000002</v>
      </c>
    </row>
    <row r="1453" spans="1:9" ht="26.1" customHeight="1" thickBot="1">
      <c r="A1453" s="92">
        <v>99632</v>
      </c>
      <c r="B1453" s="93" t="s">
        <v>45</v>
      </c>
      <c r="C1453" s="58" t="s">
        <v>46</v>
      </c>
      <c r="D1453" s="58" t="s">
        <v>47</v>
      </c>
      <c r="E1453" s="59" t="s">
        <v>1210</v>
      </c>
      <c r="F1453" s="437">
        <f>ROUND(3,15)</f>
        <v>3</v>
      </c>
      <c r="G1453" s="437">
        <f t="shared" si="240"/>
        <v>111.46050624345014</v>
      </c>
      <c r="H1453" s="439">
        <f t="shared" si="241"/>
        <v>334.38151873035002</v>
      </c>
      <c r="I1453" s="520">
        <v>133.77000000000001</v>
      </c>
    </row>
    <row r="1454" spans="1:9" ht="26.1" customHeight="1" thickBot="1">
      <c r="A1454" s="92">
        <v>99620</v>
      </c>
      <c r="B1454" s="93" t="s">
        <v>45</v>
      </c>
      <c r="C1454" s="58" t="s">
        <v>46</v>
      </c>
      <c r="D1454" s="58" t="s">
        <v>47</v>
      </c>
      <c r="E1454" s="59" t="s">
        <v>1211</v>
      </c>
      <c r="F1454" s="437">
        <f>ROUND(1,15)</f>
        <v>1</v>
      </c>
      <c r="G1454" s="437">
        <f t="shared" si="240"/>
        <v>90.521562370400105</v>
      </c>
      <c r="H1454" s="439">
        <f t="shared" si="241"/>
        <v>90.521562370400105</v>
      </c>
      <c r="I1454" s="520">
        <v>108.64</v>
      </c>
    </row>
    <row r="1455" spans="1:9" ht="26.1" customHeight="1" thickBot="1">
      <c r="A1455" s="92">
        <v>99624</v>
      </c>
      <c r="B1455" s="93" t="s">
        <v>45</v>
      </c>
      <c r="C1455" s="58" t="s">
        <v>46</v>
      </c>
      <c r="D1455" s="58" t="s">
        <v>47</v>
      </c>
      <c r="E1455" s="59" t="s">
        <v>1212</v>
      </c>
      <c r="F1455" s="437">
        <f>ROUND(2,15)</f>
        <v>2</v>
      </c>
      <c r="G1455" s="437">
        <f t="shared" si="240"/>
        <v>243.45167611730028</v>
      </c>
      <c r="H1455" s="439">
        <f t="shared" si="241"/>
        <v>486.90335223460102</v>
      </c>
      <c r="I1455" s="520">
        <v>292.18</v>
      </c>
    </row>
    <row r="1456" spans="1:9" ht="26.1" customHeight="1" thickBot="1">
      <c r="A1456" s="92">
        <v>99625</v>
      </c>
      <c r="B1456" s="93" t="s">
        <v>45</v>
      </c>
      <c r="C1456" s="58" t="s">
        <v>46</v>
      </c>
      <c r="D1456" s="58" t="s">
        <v>47</v>
      </c>
      <c r="E1456" s="59" t="s">
        <v>1213</v>
      </c>
      <c r="F1456" s="437">
        <f>ROUND(3,15)</f>
        <v>3</v>
      </c>
      <c r="G1456" s="437">
        <f t="shared" si="240"/>
        <v>326.75751011760042</v>
      </c>
      <c r="H1456" s="439">
        <f t="shared" si="241"/>
        <v>980.27253035280103</v>
      </c>
      <c r="I1456" s="520">
        <v>392.16</v>
      </c>
    </row>
    <row r="1457" spans="1:9" ht="15" thickBot="1">
      <c r="A1457" s="94">
        <v>101917</v>
      </c>
      <c r="B1457" s="95" t="s">
        <v>45</v>
      </c>
      <c r="C1457" s="74" t="s">
        <v>46</v>
      </c>
      <c r="D1457" s="74" t="s">
        <v>47</v>
      </c>
      <c r="E1457" s="78" t="s">
        <v>1524</v>
      </c>
      <c r="F1457" s="440">
        <f>ROUND(1,15)</f>
        <v>1</v>
      </c>
      <c r="G1457" s="440">
        <f t="shared" si="240"/>
        <v>90.804858865300105</v>
      </c>
      <c r="H1457" s="441">
        <f t="shared" si="241"/>
        <v>90.804858865300105</v>
      </c>
      <c r="I1457" s="520">
        <v>108.98</v>
      </c>
    </row>
    <row r="1458" spans="1:9" ht="15" thickBot="1">
      <c r="A1458" s="102" t="s">
        <v>1214</v>
      </c>
      <c r="B1458" s="103" t="s">
        <v>57</v>
      </c>
      <c r="C1458" s="66" t="s">
        <v>46</v>
      </c>
      <c r="D1458" s="66" t="s">
        <v>47</v>
      </c>
      <c r="E1458" s="67" t="s">
        <v>1215</v>
      </c>
      <c r="F1458" s="450">
        <f>ROUND(3,15)</f>
        <v>3</v>
      </c>
      <c r="G1458" s="440">
        <f t="shared" si="240"/>
        <v>64.908226331500074</v>
      </c>
      <c r="H1458" s="451">
        <f t="shared" si="241"/>
        <v>194.72467899450001</v>
      </c>
      <c r="I1458" s="520">
        <v>77.900000000000006</v>
      </c>
    </row>
    <row r="1459" spans="1:9" ht="15.75" thickTop="1" thickBot="1">
      <c r="A1459" s="51"/>
      <c r="B1459" s="52"/>
      <c r="C1459" s="52"/>
      <c r="D1459" s="136"/>
      <c r="E1459" s="683" t="s">
        <v>1192</v>
      </c>
      <c r="F1459" s="684"/>
      <c r="G1459" s="685">
        <f>H1437+H1438+H1439+H1440+H1441+H1442+H1443+H1444+H1445+H1446+H1447+H1448+H1449+H1450+H1451+H1452+H1453+H1454+H1455+H1456+H1457+H1458</f>
        <v>13453.800536300107</v>
      </c>
      <c r="H1459" s="686">
        <f>ROUND(G1459,15)</f>
        <v>13453.800536300099</v>
      </c>
      <c r="I1459" s="520"/>
    </row>
    <row r="1460" spans="1:9" ht="15.75" thickTop="1" thickBot="1">
      <c r="A1460" s="237" t="s">
        <v>1216</v>
      </c>
      <c r="B1460" s="238"/>
      <c r="C1460" s="238" t="s">
        <v>38</v>
      </c>
      <c r="D1460" s="239"/>
      <c r="E1460" s="348" t="s">
        <v>1217</v>
      </c>
      <c r="F1460" s="241"/>
      <c r="G1460" s="242">
        <f>G1470</f>
        <v>834.14153248350044</v>
      </c>
      <c r="H1460" s="243">
        <f>ROUND(G1460,15)</f>
        <v>834.14153248349999</v>
      </c>
      <c r="I1460" s="520"/>
    </row>
    <row r="1461" spans="1:9" ht="26.1" customHeight="1" thickTop="1" thickBot="1">
      <c r="A1461" s="90">
        <v>91940</v>
      </c>
      <c r="B1461" s="91" t="s">
        <v>45</v>
      </c>
      <c r="C1461" s="54" t="s">
        <v>46</v>
      </c>
      <c r="D1461" s="54" t="s">
        <v>47</v>
      </c>
      <c r="E1461" s="55" t="s">
        <v>1218</v>
      </c>
      <c r="F1461" s="436">
        <v>2</v>
      </c>
      <c r="G1461" s="437">
        <f t="shared" ref="G1461:G1469" si="242">I1461*(100%-$I$14)</f>
        <v>10.498634811000011</v>
      </c>
      <c r="H1461" s="438">
        <f t="shared" ref="H1461:H1469" si="243">ROUND(F1461*G1461,15)</f>
        <v>20.997269622000001</v>
      </c>
      <c r="I1461" s="520">
        <v>12.6</v>
      </c>
    </row>
    <row r="1462" spans="1:9" ht="26.1" customHeight="1" thickBot="1">
      <c r="A1462" s="92">
        <v>91943</v>
      </c>
      <c r="B1462" s="93" t="s">
        <v>45</v>
      </c>
      <c r="C1462" s="58" t="s">
        <v>46</v>
      </c>
      <c r="D1462" s="58" t="s">
        <v>47</v>
      </c>
      <c r="E1462" s="59" t="s">
        <v>1219</v>
      </c>
      <c r="F1462" s="437">
        <v>2</v>
      </c>
      <c r="G1462" s="437">
        <f t="shared" si="242"/>
        <v>13.431586758200016</v>
      </c>
      <c r="H1462" s="439">
        <f t="shared" si="243"/>
        <v>26.8631735164</v>
      </c>
      <c r="I1462" s="520">
        <v>16.12</v>
      </c>
    </row>
    <row r="1463" spans="1:9" ht="15" thickBot="1">
      <c r="A1463" s="94" t="s">
        <v>1220</v>
      </c>
      <c r="B1463" s="95" t="s">
        <v>57</v>
      </c>
      <c r="C1463" s="74" t="s">
        <v>46</v>
      </c>
      <c r="D1463" s="74" t="s">
        <v>47</v>
      </c>
      <c r="E1463" s="78" t="s">
        <v>1221</v>
      </c>
      <c r="F1463" s="440">
        <v>2</v>
      </c>
      <c r="G1463" s="440">
        <f t="shared" si="242"/>
        <v>56.550979731950072</v>
      </c>
      <c r="H1463" s="441">
        <f t="shared" si="243"/>
        <v>113.1019594639</v>
      </c>
      <c r="I1463" s="520">
        <v>67.87</v>
      </c>
    </row>
    <row r="1464" spans="1:9" ht="15" thickBot="1">
      <c r="A1464" s="94" t="s">
        <v>1222</v>
      </c>
      <c r="B1464" s="95" t="s">
        <v>57</v>
      </c>
      <c r="C1464" s="74" t="s">
        <v>46</v>
      </c>
      <c r="D1464" s="74" t="s">
        <v>47</v>
      </c>
      <c r="E1464" s="78" t="s">
        <v>1223</v>
      </c>
      <c r="F1464" s="440">
        <v>2</v>
      </c>
      <c r="G1464" s="440">
        <f t="shared" si="242"/>
        <v>73.907056169500095</v>
      </c>
      <c r="H1464" s="441">
        <f t="shared" si="243"/>
        <v>147.81411233899999</v>
      </c>
      <c r="I1464" s="520">
        <v>88.7</v>
      </c>
    </row>
    <row r="1465" spans="1:9" ht="15" thickBot="1">
      <c r="A1465" s="94" t="s">
        <v>1224</v>
      </c>
      <c r="B1465" s="95" t="s">
        <v>57</v>
      </c>
      <c r="C1465" s="74" t="s">
        <v>46</v>
      </c>
      <c r="D1465" s="74" t="s">
        <v>47</v>
      </c>
      <c r="E1465" s="78" t="s">
        <v>1225</v>
      </c>
      <c r="F1465" s="440">
        <v>2</v>
      </c>
      <c r="G1465" s="440">
        <f t="shared" si="242"/>
        <v>31.354256185550039</v>
      </c>
      <c r="H1465" s="441">
        <f t="shared" si="243"/>
        <v>62.708512371100099</v>
      </c>
      <c r="I1465" s="520">
        <v>37.630000000000003</v>
      </c>
    </row>
    <row r="1466" spans="1:9" ht="15" thickBot="1">
      <c r="A1466" s="94" t="s">
        <v>1226</v>
      </c>
      <c r="B1466" s="95" t="s">
        <v>57</v>
      </c>
      <c r="C1466" s="74" t="s">
        <v>46</v>
      </c>
      <c r="D1466" s="167" t="s">
        <v>47</v>
      </c>
      <c r="E1466" s="78" t="s">
        <v>1227</v>
      </c>
      <c r="F1466" s="440">
        <v>2</v>
      </c>
      <c r="G1466" s="440">
        <f t="shared" si="242"/>
        <v>27.738059750650031</v>
      </c>
      <c r="H1466" s="441">
        <f t="shared" si="243"/>
        <v>55.476119501300097</v>
      </c>
      <c r="I1466" s="520">
        <v>33.29</v>
      </c>
    </row>
    <row r="1467" spans="1:9" ht="26.1" customHeight="1" thickBot="1">
      <c r="A1467" s="92" t="s">
        <v>1228</v>
      </c>
      <c r="B1467" s="93" t="s">
        <v>57</v>
      </c>
      <c r="C1467" s="165" t="s">
        <v>46</v>
      </c>
      <c r="D1467" s="58" t="s">
        <v>47</v>
      </c>
      <c r="E1467" s="166" t="s">
        <v>1229</v>
      </c>
      <c r="F1467" s="437">
        <v>1</v>
      </c>
      <c r="G1467" s="437">
        <f t="shared" si="242"/>
        <v>307.12672947100037</v>
      </c>
      <c r="H1467" s="439">
        <f t="shared" si="243"/>
        <v>307.12672947099998</v>
      </c>
      <c r="I1467" s="520">
        <v>368.6</v>
      </c>
    </row>
    <row r="1468" spans="1:9" ht="26.1" customHeight="1" thickBot="1">
      <c r="A1468" s="92">
        <v>91854</v>
      </c>
      <c r="B1468" s="93" t="s">
        <v>45</v>
      </c>
      <c r="C1468" s="165" t="s">
        <v>46</v>
      </c>
      <c r="D1468" s="58" t="s">
        <v>68</v>
      </c>
      <c r="E1468" s="166" t="s">
        <v>1230</v>
      </c>
      <c r="F1468" s="437">
        <v>8</v>
      </c>
      <c r="G1468" s="437">
        <f t="shared" si="242"/>
        <v>6.6324708806000077</v>
      </c>
      <c r="H1468" s="439">
        <f t="shared" si="243"/>
        <v>53.059767044800097</v>
      </c>
      <c r="I1468" s="520">
        <v>7.96</v>
      </c>
    </row>
    <row r="1469" spans="1:9" ht="26.1" customHeight="1" thickBot="1">
      <c r="A1469" s="96">
        <v>91924</v>
      </c>
      <c r="B1469" s="97" t="s">
        <v>45</v>
      </c>
      <c r="C1469" s="179" t="s">
        <v>46</v>
      </c>
      <c r="D1469" s="60" t="s">
        <v>68</v>
      </c>
      <c r="E1469" s="180" t="s">
        <v>932</v>
      </c>
      <c r="F1469" s="442">
        <v>20</v>
      </c>
      <c r="G1469" s="437">
        <f t="shared" si="242"/>
        <v>2.3496944577000027</v>
      </c>
      <c r="H1469" s="443">
        <f t="shared" si="243"/>
        <v>46.993889154000101</v>
      </c>
      <c r="I1469" s="520">
        <v>2.82</v>
      </c>
    </row>
    <row r="1470" spans="1:9" ht="15.75" thickTop="1" thickBot="1">
      <c r="A1470" s="85"/>
      <c r="B1470" s="86"/>
      <c r="C1470" s="86"/>
      <c r="D1470" s="112"/>
      <c r="E1470" s="683" t="s">
        <v>1216</v>
      </c>
      <c r="F1470" s="684"/>
      <c r="G1470" s="685">
        <f>+H1461+H1464+H1465+H1466+H1467+H1468+H1469+H1462+H1463</f>
        <v>834.14153248350044</v>
      </c>
      <c r="H1470" s="686">
        <f>ROUND(G1470,15)</f>
        <v>834.14153248349999</v>
      </c>
      <c r="I1470" s="520"/>
    </row>
    <row r="1471" spans="1:9" ht="15.75" thickTop="1" thickBot="1">
      <c r="A1471" s="114"/>
      <c r="B1471" s="115"/>
      <c r="C1471" s="115"/>
      <c r="D1471" s="116"/>
      <c r="E1471" s="687" t="s">
        <v>1159</v>
      </c>
      <c r="F1471" s="688"/>
      <c r="G1471" s="689">
        <f>H1426+H1430+H1435+H1459+H1470</f>
        <v>22120.331918032247</v>
      </c>
      <c r="H1471" s="690">
        <f>ROUND(G1471,15)</f>
        <v>22120.3319180322</v>
      </c>
      <c r="I1471" s="520"/>
    </row>
    <row r="1472" spans="1:9" ht="15.75" thickTop="1" thickBot="1">
      <c r="A1472" s="362" t="s">
        <v>1231</v>
      </c>
      <c r="B1472" s="363"/>
      <c r="C1472" s="363" t="s">
        <v>38</v>
      </c>
      <c r="D1472" s="364"/>
      <c r="E1472" s="365" t="s">
        <v>1232</v>
      </c>
      <c r="F1472" s="366"/>
      <c r="G1472" s="367">
        <f>G1478</f>
        <v>61760.131443725622</v>
      </c>
      <c r="H1472" s="368">
        <f>ROUND(G1472,15)</f>
        <v>61760.131443725601</v>
      </c>
      <c r="I1472" s="520"/>
    </row>
    <row r="1473" spans="1:9" ht="26.1" customHeight="1" thickTop="1" thickBot="1">
      <c r="A1473" s="90" t="s">
        <v>1233</v>
      </c>
      <c r="B1473" s="91" t="s">
        <v>148</v>
      </c>
      <c r="C1473" s="54" t="s">
        <v>46</v>
      </c>
      <c r="D1473" s="54" t="s">
        <v>49</v>
      </c>
      <c r="E1473" s="55" t="s">
        <v>1234</v>
      </c>
      <c r="F1473" s="436">
        <f>ROUND(233.12,15)</f>
        <v>233.12</v>
      </c>
      <c r="G1473" s="437">
        <f t="shared" ref="G1473:G1477" si="244">I1473*(100%-$I$14)</f>
        <v>68.174468272700068</v>
      </c>
      <c r="H1473" s="438">
        <f>ROUND(F1473*G1473,15)</f>
        <v>15892.8320437318</v>
      </c>
      <c r="I1473" s="520">
        <v>81.819999999999993</v>
      </c>
    </row>
    <row r="1474" spans="1:9" ht="26.1" customHeight="1" thickBot="1">
      <c r="A1474" s="92">
        <v>98563</v>
      </c>
      <c r="B1474" s="93" t="s">
        <v>45</v>
      </c>
      <c r="C1474" s="58" t="s">
        <v>46</v>
      </c>
      <c r="D1474" s="58" t="s">
        <v>49</v>
      </c>
      <c r="E1474" s="59" t="s">
        <v>1235</v>
      </c>
      <c r="F1474" s="437">
        <f>ROUND(233.12,15)</f>
        <v>233.12</v>
      </c>
      <c r="G1474" s="437">
        <f t="shared" si="244"/>
        <v>22.613726092900027</v>
      </c>
      <c r="H1474" s="439">
        <f>ROUND(F1474*G1474,15)</f>
        <v>5271.7118267768501</v>
      </c>
      <c r="I1474" s="520">
        <v>27.14</v>
      </c>
    </row>
    <row r="1475" spans="1:9" ht="15" thickBot="1">
      <c r="A1475" s="94" t="s">
        <v>1236</v>
      </c>
      <c r="B1475" s="95" t="s">
        <v>57</v>
      </c>
      <c r="C1475" s="74" t="s">
        <v>46</v>
      </c>
      <c r="D1475" s="74" t="s">
        <v>49</v>
      </c>
      <c r="E1475" s="78" t="s">
        <v>1237</v>
      </c>
      <c r="F1475" s="440">
        <f>ROUND(1066.8,15)</f>
        <v>1066.8</v>
      </c>
      <c r="G1475" s="440">
        <f t="shared" si="244"/>
        <v>8.6738720938500098</v>
      </c>
      <c r="H1475" s="441">
        <f>ROUND(F1475*G1475,15)</f>
        <v>9253.2867497191892</v>
      </c>
      <c r="I1475" s="520">
        <v>10.41</v>
      </c>
    </row>
    <row r="1476" spans="1:9" ht="26.1" customHeight="1" thickBot="1">
      <c r="A1476" s="92">
        <v>98555</v>
      </c>
      <c r="B1476" s="93" t="s">
        <v>45</v>
      </c>
      <c r="C1476" s="58" t="s">
        <v>46</v>
      </c>
      <c r="D1476" s="58" t="s">
        <v>49</v>
      </c>
      <c r="E1476" s="59" t="s">
        <v>1238</v>
      </c>
      <c r="F1476" s="437">
        <f>ROUND(339.08,15)</f>
        <v>339.08</v>
      </c>
      <c r="G1476" s="437">
        <f t="shared" si="244"/>
        <v>19.005861907850022</v>
      </c>
      <c r="H1476" s="439">
        <f>ROUND(F1476*G1476,15)</f>
        <v>6444.50765571379</v>
      </c>
      <c r="I1476" s="520">
        <v>22.81</v>
      </c>
    </row>
    <row r="1477" spans="1:9" ht="36" customHeight="1" thickBot="1">
      <c r="A1477" s="96" t="s">
        <v>1239</v>
      </c>
      <c r="B1477" s="97" t="s">
        <v>57</v>
      </c>
      <c r="C1477" s="60" t="s">
        <v>46</v>
      </c>
      <c r="D1477" s="60" t="s">
        <v>49</v>
      </c>
      <c r="E1477" s="61" t="s">
        <v>1240</v>
      </c>
      <c r="F1477" s="442">
        <f>ROUND(252.61,15)</f>
        <v>252.61</v>
      </c>
      <c r="G1477" s="437">
        <f t="shared" si="244"/>
        <v>98.562183475650116</v>
      </c>
      <c r="H1477" s="443">
        <f>ROUND(F1477*G1477,15)</f>
        <v>24897.793167783999</v>
      </c>
      <c r="I1477" s="520">
        <v>118.29</v>
      </c>
    </row>
    <row r="1478" spans="1:9" ht="15.75" thickTop="1" thickBot="1">
      <c r="A1478" s="51"/>
      <c r="B1478" s="52"/>
      <c r="C1478" s="52"/>
      <c r="D1478" s="136"/>
      <c r="E1478" s="683" t="s">
        <v>1231</v>
      </c>
      <c r="F1478" s="684"/>
      <c r="G1478" s="685">
        <f>H1473+H1474+H1475+H1476+H1477</f>
        <v>61760.131443725622</v>
      </c>
      <c r="H1478" s="686">
        <f>ROUND(G1478,15)</f>
        <v>61760.131443725601</v>
      </c>
      <c r="I1478" s="520"/>
    </row>
    <row r="1479" spans="1:9" ht="15.75" thickTop="1" thickBot="1">
      <c r="A1479" s="244" t="s">
        <v>1241</v>
      </c>
      <c r="B1479" s="245"/>
      <c r="C1479" s="245" t="s">
        <v>38</v>
      </c>
      <c r="D1479" s="246"/>
      <c r="E1479" s="349" t="s">
        <v>1242</v>
      </c>
      <c r="F1479" s="248"/>
      <c r="G1479" s="249">
        <f>G1483</f>
        <v>4327.2853018587402</v>
      </c>
      <c r="H1479" s="250">
        <f>ROUND(G1479,15)</f>
        <v>4327.2853018587402</v>
      </c>
      <c r="I1479" s="520"/>
    </row>
    <row r="1480" spans="1:9" ht="15" thickBot="1">
      <c r="A1480" s="379" t="s">
        <v>1243</v>
      </c>
      <c r="B1480" s="380"/>
      <c r="C1480" s="380" t="s">
        <v>38</v>
      </c>
      <c r="D1480" s="381"/>
      <c r="E1480" s="382" t="s">
        <v>1244</v>
      </c>
      <c r="F1480" s="383"/>
      <c r="G1480" s="384">
        <f>G1482</f>
        <v>4327.2853018587402</v>
      </c>
      <c r="H1480" s="385">
        <f>ROUND(G1480,15)</f>
        <v>4327.2853018587402</v>
      </c>
      <c r="I1480" s="520"/>
    </row>
    <row r="1481" spans="1:9" ht="15.75" thickTop="1" thickBot="1">
      <c r="A1481" s="109" t="s">
        <v>1245</v>
      </c>
      <c r="B1481" s="110" t="s">
        <v>57</v>
      </c>
      <c r="C1481" s="89" t="s">
        <v>46</v>
      </c>
      <c r="D1481" s="89" t="s">
        <v>49</v>
      </c>
      <c r="E1481" s="108" t="s">
        <v>1246</v>
      </c>
      <c r="F1481" s="513">
        <f>ROUND(2060.88,15)</f>
        <v>2060.88</v>
      </c>
      <c r="G1481" s="440">
        <f t="shared" ref="G1481" si="245">I1481*(100%-$I$14)</f>
        <v>2.0997269622000023</v>
      </c>
      <c r="H1481" s="514">
        <f>ROUND(F1481*G1481,15)</f>
        <v>4327.2853018587402</v>
      </c>
      <c r="I1481" s="520">
        <v>2.52</v>
      </c>
    </row>
    <row r="1482" spans="1:9" ht="15.75" thickTop="1" thickBot="1">
      <c r="A1482" s="85"/>
      <c r="B1482" s="86"/>
      <c r="C1482" s="86"/>
      <c r="D1482" s="112"/>
      <c r="E1482" s="683" t="s">
        <v>1243</v>
      </c>
      <c r="F1482" s="684"/>
      <c r="G1482" s="685">
        <f>H1481</f>
        <v>4327.2853018587402</v>
      </c>
      <c r="H1482" s="686">
        <f>ROUND(G1482,15)</f>
        <v>4327.2853018587402</v>
      </c>
      <c r="I1482" s="520"/>
    </row>
    <row r="1483" spans="1:9" ht="15.75" thickTop="1" thickBot="1">
      <c r="A1483" s="114"/>
      <c r="B1483" s="115"/>
      <c r="C1483" s="115"/>
      <c r="D1483" s="116"/>
      <c r="E1483" s="687" t="s">
        <v>1241</v>
      </c>
      <c r="F1483" s="688"/>
      <c r="G1483" s="689">
        <f>H1482</f>
        <v>4327.2853018587402</v>
      </c>
      <c r="H1483" s="690">
        <f>ROUND(G1483,15)</f>
        <v>4327.2853018587402</v>
      </c>
      <c r="I1483" s="520"/>
    </row>
    <row r="1484" spans="1:9" ht="15.75" thickTop="1" thickBot="1">
      <c r="A1484" s="244" t="s">
        <v>1247</v>
      </c>
      <c r="B1484" s="245"/>
      <c r="C1484" s="245" t="s">
        <v>38</v>
      </c>
      <c r="D1484" s="246"/>
      <c r="E1484" s="349" t="s">
        <v>1248</v>
      </c>
      <c r="F1484" s="248"/>
      <c r="G1484" s="249">
        <f>G1491</f>
        <v>314502.70367021498</v>
      </c>
      <c r="H1484" s="250">
        <f>ROUND(G1484,15)</f>
        <v>314502.70367021498</v>
      </c>
      <c r="I1484" s="520"/>
    </row>
    <row r="1485" spans="1:9" ht="15" thickBot="1">
      <c r="A1485" s="379" t="s">
        <v>1249</v>
      </c>
      <c r="B1485" s="380"/>
      <c r="C1485" s="380" t="s">
        <v>38</v>
      </c>
      <c r="D1485" s="381"/>
      <c r="E1485" s="382" t="s">
        <v>1250</v>
      </c>
      <c r="F1485" s="383"/>
      <c r="G1485" s="384">
        <f>G1490</f>
        <v>314502.70367021521</v>
      </c>
      <c r="H1485" s="385">
        <f>ROUND(G1485,15)</f>
        <v>314502.70367021498</v>
      </c>
      <c r="I1485" s="520"/>
    </row>
    <row r="1486" spans="1:9" ht="15.75" thickTop="1" thickBot="1">
      <c r="A1486" s="100">
        <v>93563</v>
      </c>
      <c r="B1486" s="101" t="s">
        <v>45</v>
      </c>
      <c r="C1486" s="64" t="s">
        <v>46</v>
      </c>
      <c r="D1486" s="64" t="s">
        <v>1526</v>
      </c>
      <c r="E1486" s="65" t="s">
        <v>1251</v>
      </c>
      <c r="F1486" s="446">
        <f>ROUND(12,15)</f>
        <v>12</v>
      </c>
      <c r="G1486" s="440">
        <f t="shared" ref="G1486:G1489" si="246">I1486*(100%-$I$14)</f>
        <v>4080.3777417936549</v>
      </c>
      <c r="H1486" s="447">
        <f>ROUND(F1486*G1486,15)</f>
        <v>48964.532901523897</v>
      </c>
      <c r="I1486" s="520">
        <v>4897.09</v>
      </c>
    </row>
    <row r="1487" spans="1:9" ht="15" thickBot="1">
      <c r="A1487" s="94">
        <v>93567</v>
      </c>
      <c r="B1487" s="95" t="s">
        <v>45</v>
      </c>
      <c r="C1487" s="74" t="s">
        <v>46</v>
      </c>
      <c r="D1487" s="74" t="s">
        <v>1526</v>
      </c>
      <c r="E1487" s="78" t="s">
        <v>1252</v>
      </c>
      <c r="F1487" s="440">
        <f>ROUND(12,15)</f>
        <v>12</v>
      </c>
      <c r="G1487" s="440">
        <f t="shared" si="246"/>
        <v>14794.126247171116</v>
      </c>
      <c r="H1487" s="441">
        <f>ROUND(F1487*G1487,15)</f>
        <v>177529.51496605299</v>
      </c>
      <c r="I1487" s="520">
        <v>17755.259999999998</v>
      </c>
    </row>
    <row r="1488" spans="1:9" ht="15" thickBot="1">
      <c r="A1488" s="94">
        <v>94295</v>
      </c>
      <c r="B1488" s="95" t="s">
        <v>45</v>
      </c>
      <c r="C1488" s="74" t="s">
        <v>46</v>
      </c>
      <c r="D1488" s="74" t="s">
        <v>1526</v>
      </c>
      <c r="E1488" s="78" t="s">
        <v>1253</v>
      </c>
      <c r="F1488" s="440">
        <f>ROUND(12,15)</f>
        <v>12</v>
      </c>
      <c r="G1488" s="440">
        <f t="shared" si="246"/>
        <v>4103.6580478745545</v>
      </c>
      <c r="H1488" s="441">
        <f>ROUND(F1488*G1488,15)</f>
        <v>49243.896574494698</v>
      </c>
      <c r="I1488" s="520">
        <v>4925.03</v>
      </c>
    </row>
    <row r="1489" spans="1:9" ht="15" thickBot="1">
      <c r="A1489" s="94" t="s">
        <v>1525</v>
      </c>
      <c r="B1489" s="95" t="s">
        <v>45</v>
      </c>
      <c r="C1489" s="74" t="s">
        <v>46</v>
      </c>
      <c r="D1489" s="74" t="s">
        <v>1526</v>
      </c>
      <c r="E1489" s="78" t="s">
        <v>1254</v>
      </c>
      <c r="F1489" s="440">
        <v>12</v>
      </c>
      <c r="G1489" s="440">
        <f t="shared" si="246"/>
        <v>3230.3966023453036</v>
      </c>
      <c r="H1489" s="441">
        <f>ROUND(F1489*G1489,15)</f>
        <v>38764.759228143601</v>
      </c>
      <c r="I1489" s="520">
        <v>3876.98</v>
      </c>
    </row>
    <row r="1490" spans="1:9" ht="15.75" thickTop="1" thickBot="1">
      <c r="A1490" s="85"/>
      <c r="B1490" s="86"/>
      <c r="C1490" s="86"/>
      <c r="D1490" s="112"/>
      <c r="E1490" s="683" t="s">
        <v>1249</v>
      </c>
      <c r="F1490" s="684"/>
      <c r="G1490" s="685">
        <f>H1486+H1487+H1488+H1489</f>
        <v>314502.70367021521</v>
      </c>
      <c r="H1490" s="686">
        <f>ROUND(G1490,15)</f>
        <v>314502.70367021498</v>
      </c>
      <c r="I1490" s="520"/>
    </row>
    <row r="1491" spans="1:9" ht="15.75" thickTop="1" thickBot="1">
      <c r="A1491" s="114"/>
      <c r="B1491" s="115"/>
      <c r="C1491" s="115"/>
      <c r="D1491" s="116"/>
      <c r="E1491" s="687" t="s">
        <v>1247</v>
      </c>
      <c r="F1491" s="688"/>
      <c r="G1491" s="689">
        <f>H1490</f>
        <v>314502.70367021498</v>
      </c>
      <c r="H1491" s="690">
        <f>ROUND(G1491,15)</f>
        <v>314502.70367021498</v>
      </c>
      <c r="I1491" s="520"/>
    </row>
    <row r="1492" spans="1:9" ht="15.75" thickTop="1" thickBot="1">
      <c r="A1492" s="244" t="s">
        <v>1255</v>
      </c>
      <c r="B1492" s="245"/>
      <c r="C1492" s="245" t="s">
        <v>38</v>
      </c>
      <c r="D1492" s="246"/>
      <c r="E1492" s="349" t="s">
        <v>1256</v>
      </c>
      <c r="F1492" s="248"/>
      <c r="G1492" s="249">
        <f>G1539</f>
        <v>168648.11152518931</v>
      </c>
      <c r="H1492" s="250">
        <f>ROUND(G1492,15)</f>
        <v>168648.11152518899</v>
      </c>
      <c r="I1492" s="520"/>
    </row>
    <row r="1493" spans="1:9" ht="15" thickBot="1">
      <c r="A1493" s="251" t="s">
        <v>1257</v>
      </c>
      <c r="B1493" s="252"/>
      <c r="C1493" s="252" t="s">
        <v>38</v>
      </c>
      <c r="D1493" s="253"/>
      <c r="E1493" s="350" t="s">
        <v>874</v>
      </c>
      <c r="F1493" s="255"/>
      <c r="G1493" s="256">
        <f>G1522</f>
        <v>84013.258677064747</v>
      </c>
      <c r="H1493" s="257">
        <f>ROUND(G1493,15)</f>
        <v>84013.258677064703</v>
      </c>
      <c r="I1493" s="520"/>
    </row>
    <row r="1494" spans="1:9" ht="15" thickBot="1">
      <c r="A1494" s="220" t="s">
        <v>1258</v>
      </c>
      <c r="B1494" s="221"/>
      <c r="C1494" s="221" t="s">
        <v>38</v>
      </c>
      <c r="D1494" s="222"/>
      <c r="E1494" s="223" t="s">
        <v>1259</v>
      </c>
      <c r="F1494" s="224"/>
      <c r="G1494" s="225">
        <f>G1497</f>
        <v>40239.917406087305</v>
      </c>
      <c r="H1494" s="226">
        <f>ROUND(G1494,15)</f>
        <v>40239.917406087297</v>
      </c>
      <c r="I1494" s="520"/>
    </row>
    <row r="1495" spans="1:9" ht="15.75" thickTop="1" thickBot="1">
      <c r="A1495" s="100" t="s">
        <v>1260</v>
      </c>
      <c r="B1495" s="101" t="s">
        <v>57</v>
      </c>
      <c r="C1495" s="64" t="s">
        <v>46</v>
      </c>
      <c r="D1495" s="64" t="s">
        <v>47</v>
      </c>
      <c r="E1495" s="65" t="s">
        <v>1261</v>
      </c>
      <c r="F1495" s="446">
        <f>ROUND(1,15)</f>
        <v>1</v>
      </c>
      <c r="G1495" s="440">
        <f t="shared" ref="G1495:G1496" si="247">I1495*(100%-$I$14)</f>
        <v>30407.945905585835</v>
      </c>
      <c r="H1495" s="447">
        <f>ROUND(F1495*G1495,15)</f>
        <v>30407.945905585799</v>
      </c>
      <c r="I1495" s="520">
        <v>36494.28</v>
      </c>
    </row>
    <row r="1496" spans="1:9" ht="15" thickBot="1">
      <c r="A1496" s="102" t="s">
        <v>1262</v>
      </c>
      <c r="B1496" s="103" t="s">
        <v>57</v>
      </c>
      <c r="C1496" s="66" t="s">
        <v>46</v>
      </c>
      <c r="D1496" s="66" t="s">
        <v>47</v>
      </c>
      <c r="E1496" s="67" t="s">
        <v>1263</v>
      </c>
      <c r="F1496" s="450">
        <f>ROUND(1,15)</f>
        <v>1</v>
      </c>
      <c r="G1496" s="440">
        <f t="shared" si="247"/>
        <v>9831.9715005015114</v>
      </c>
      <c r="H1496" s="451">
        <f>ROUND(F1496*G1496,15)</f>
        <v>9831.9715005015096</v>
      </c>
      <c r="I1496" s="520">
        <v>11799.9</v>
      </c>
    </row>
    <row r="1497" spans="1:9" ht="15.75" thickTop="1" thickBot="1">
      <c r="A1497" s="51"/>
      <c r="B1497" s="52"/>
      <c r="C1497" s="52"/>
      <c r="D1497" s="136"/>
      <c r="E1497" s="676" t="s">
        <v>1258</v>
      </c>
      <c r="F1497" s="677"/>
      <c r="G1497" s="678">
        <f>H1495+H1496</f>
        <v>40239.917406087305</v>
      </c>
      <c r="H1497" s="679">
        <f>ROUND(G1497,15)</f>
        <v>40239.917406087297</v>
      </c>
      <c r="I1497" s="520"/>
    </row>
    <row r="1498" spans="1:9" ht="15.75" thickTop="1" thickBot="1">
      <c r="A1498" s="227" t="s">
        <v>1264</v>
      </c>
      <c r="B1498" s="228"/>
      <c r="C1498" s="228" t="s">
        <v>38</v>
      </c>
      <c r="D1498" s="229"/>
      <c r="E1498" s="230" t="s">
        <v>1265</v>
      </c>
      <c r="F1498" s="231"/>
      <c r="G1498" s="232">
        <f>G1506</f>
        <v>11392.36026216085</v>
      </c>
      <c r="H1498" s="233">
        <f>ROUND(G1498,15)</f>
        <v>11392.360262160801</v>
      </c>
      <c r="I1498" s="520"/>
    </row>
    <row r="1499" spans="1:9" ht="15.75" thickTop="1" thickBot="1">
      <c r="A1499" s="100">
        <v>98302</v>
      </c>
      <c r="B1499" s="101" t="s">
        <v>45</v>
      </c>
      <c r="C1499" s="64" t="s">
        <v>46</v>
      </c>
      <c r="D1499" s="64" t="s">
        <v>47</v>
      </c>
      <c r="E1499" s="65" t="s">
        <v>1266</v>
      </c>
      <c r="F1499" s="446">
        <f>ROUND(7,15)</f>
        <v>7</v>
      </c>
      <c r="G1499" s="440">
        <f t="shared" ref="G1499:G1505" si="248">I1499*(100%-$I$14)</f>
        <v>523.15697133195056</v>
      </c>
      <c r="H1499" s="447">
        <f t="shared" ref="H1499:H1505" si="249">ROUND(F1499*G1499,15)</f>
        <v>3662.0987993236499</v>
      </c>
      <c r="I1499" s="520">
        <v>627.87</v>
      </c>
    </row>
    <row r="1500" spans="1:9" ht="15" thickBot="1">
      <c r="A1500" s="94" t="s">
        <v>1267</v>
      </c>
      <c r="B1500" s="95" t="s">
        <v>57</v>
      </c>
      <c r="C1500" s="74" t="s">
        <v>46</v>
      </c>
      <c r="D1500" s="74" t="s">
        <v>47</v>
      </c>
      <c r="E1500" s="78" t="s">
        <v>1268</v>
      </c>
      <c r="F1500" s="440">
        <f>ROUND(1,15)</f>
        <v>1</v>
      </c>
      <c r="G1500" s="440">
        <f t="shared" si="248"/>
        <v>673.90403561815071</v>
      </c>
      <c r="H1500" s="441">
        <f t="shared" si="249"/>
        <v>673.90403561815106</v>
      </c>
      <c r="I1500" s="520">
        <v>808.79</v>
      </c>
    </row>
    <row r="1501" spans="1:9" ht="15" thickBot="1">
      <c r="A1501" s="94" t="s">
        <v>1269</v>
      </c>
      <c r="B1501" s="95" t="s">
        <v>57</v>
      </c>
      <c r="C1501" s="74" t="s">
        <v>46</v>
      </c>
      <c r="D1501" s="74" t="s">
        <v>47</v>
      </c>
      <c r="E1501" s="78" t="s">
        <v>1270</v>
      </c>
      <c r="F1501" s="440">
        <f>ROUND(1,15)</f>
        <v>1</v>
      </c>
      <c r="G1501" s="440">
        <f t="shared" si="248"/>
        <v>29.954438210750038</v>
      </c>
      <c r="H1501" s="441">
        <f t="shared" si="249"/>
        <v>29.954438210749998</v>
      </c>
      <c r="I1501" s="520">
        <v>35.950000000000003</v>
      </c>
    </row>
    <row r="1502" spans="1:9" ht="15" thickBot="1">
      <c r="A1502" s="94" t="s">
        <v>1271</v>
      </c>
      <c r="B1502" s="95" t="s">
        <v>57</v>
      </c>
      <c r="C1502" s="74" t="s">
        <v>46</v>
      </c>
      <c r="D1502" s="74" t="s">
        <v>47</v>
      </c>
      <c r="E1502" s="78" t="s">
        <v>1272</v>
      </c>
      <c r="F1502" s="440">
        <f>ROUND(2,15)</f>
        <v>2</v>
      </c>
      <c r="G1502" s="440">
        <f t="shared" si="248"/>
        <v>1777.4855315011023</v>
      </c>
      <c r="H1502" s="441">
        <f t="shared" si="249"/>
        <v>3554.9710630022</v>
      </c>
      <c r="I1502" s="520">
        <v>2133.2600000000002</v>
      </c>
    </row>
    <row r="1503" spans="1:9" ht="15" thickBot="1">
      <c r="A1503" s="94" t="s">
        <v>1273</v>
      </c>
      <c r="B1503" s="95" t="s">
        <v>57</v>
      </c>
      <c r="C1503" s="74" t="s">
        <v>46</v>
      </c>
      <c r="D1503" s="74" t="s">
        <v>47</v>
      </c>
      <c r="E1503" s="78" t="s">
        <v>1274</v>
      </c>
      <c r="F1503" s="440">
        <f>ROUND(2,15)</f>
        <v>2</v>
      </c>
      <c r="G1503" s="440">
        <f t="shared" si="248"/>
        <v>895.0336143873011</v>
      </c>
      <c r="H1503" s="441">
        <f t="shared" si="249"/>
        <v>1790.0672287745999</v>
      </c>
      <c r="I1503" s="520">
        <v>1074.18</v>
      </c>
    </row>
    <row r="1504" spans="1:9" ht="15" thickBot="1">
      <c r="A1504" s="94" t="s">
        <v>1275</v>
      </c>
      <c r="B1504" s="95" t="s">
        <v>57</v>
      </c>
      <c r="C1504" s="74" t="s">
        <v>46</v>
      </c>
      <c r="D1504" s="74" t="s">
        <v>47</v>
      </c>
      <c r="E1504" s="78" t="s">
        <v>1276</v>
      </c>
      <c r="F1504" s="440">
        <f>ROUND(2,15)</f>
        <v>2</v>
      </c>
      <c r="G1504" s="440">
        <f t="shared" si="248"/>
        <v>687.04399363160076</v>
      </c>
      <c r="H1504" s="441">
        <f t="shared" si="249"/>
        <v>1374.0879872631999</v>
      </c>
      <c r="I1504" s="520">
        <v>824.56</v>
      </c>
    </row>
    <row r="1505" spans="1:9" ht="15" thickBot="1">
      <c r="A1505" s="102" t="s">
        <v>1277</v>
      </c>
      <c r="B1505" s="103" t="s">
        <v>57</v>
      </c>
      <c r="C1505" s="66" t="s">
        <v>46</v>
      </c>
      <c r="D1505" s="66" t="s">
        <v>47</v>
      </c>
      <c r="E1505" s="67" t="s">
        <v>1278</v>
      </c>
      <c r="F1505" s="450">
        <f>ROUND(1,15)</f>
        <v>1</v>
      </c>
      <c r="G1505" s="440">
        <f t="shared" si="248"/>
        <v>307.27670996830034</v>
      </c>
      <c r="H1505" s="451">
        <f t="shared" si="249"/>
        <v>307.2767099683</v>
      </c>
      <c r="I1505" s="520">
        <v>368.78</v>
      </c>
    </row>
    <row r="1506" spans="1:9" ht="15.75" thickTop="1" thickBot="1">
      <c r="A1506" s="51"/>
      <c r="B1506" s="52"/>
      <c r="C1506" s="52"/>
      <c r="D1506" s="136"/>
      <c r="E1506" s="676" t="s">
        <v>1264</v>
      </c>
      <c r="F1506" s="677"/>
      <c r="G1506" s="678">
        <f>H1499+H1500+H1501+H1502+H1503+H1504+H1505</f>
        <v>11392.36026216085</v>
      </c>
      <c r="H1506" s="679">
        <f>ROUND(G1506,15)</f>
        <v>11392.360262160801</v>
      </c>
      <c r="I1506" s="520"/>
    </row>
    <row r="1507" spans="1:9" ht="15.75" thickTop="1" thickBot="1">
      <c r="A1507" s="227" t="s">
        <v>1279</v>
      </c>
      <c r="B1507" s="228"/>
      <c r="C1507" s="228" t="s">
        <v>38</v>
      </c>
      <c r="D1507" s="229"/>
      <c r="E1507" s="230" t="s">
        <v>1034</v>
      </c>
      <c r="F1507" s="231"/>
      <c r="G1507" s="232">
        <f>G1512</f>
        <v>6132.9774988420504</v>
      </c>
      <c r="H1507" s="233">
        <f>ROUND(G1507,15)</f>
        <v>6132.9774988420504</v>
      </c>
      <c r="I1507" s="520"/>
    </row>
    <row r="1508" spans="1:9" ht="26.1" customHeight="1" thickTop="1" thickBot="1">
      <c r="A1508" s="90" t="s">
        <v>1280</v>
      </c>
      <c r="B1508" s="91" t="s">
        <v>57</v>
      </c>
      <c r="C1508" s="54" t="s">
        <v>46</v>
      </c>
      <c r="D1508" s="54" t="s">
        <v>47</v>
      </c>
      <c r="E1508" s="55" t="s">
        <v>1281</v>
      </c>
      <c r="F1508" s="436">
        <f>ROUND(37,15)</f>
        <v>37</v>
      </c>
      <c r="G1508" s="437">
        <f t="shared" ref="G1508:G1511" si="250">I1508*(100%-$I$14)</f>
        <v>86.238785947500105</v>
      </c>
      <c r="H1508" s="438">
        <f>ROUND(F1508*G1508,15)</f>
        <v>3190.8350800574999</v>
      </c>
      <c r="I1508" s="520">
        <v>103.5</v>
      </c>
    </row>
    <row r="1509" spans="1:9" ht="26.1" customHeight="1" thickBot="1">
      <c r="A1509" s="92" t="s">
        <v>1282</v>
      </c>
      <c r="B1509" s="93" t="s">
        <v>57</v>
      </c>
      <c r="C1509" s="58" t="s">
        <v>46</v>
      </c>
      <c r="D1509" s="58" t="s">
        <v>47</v>
      </c>
      <c r="E1509" s="59" t="s">
        <v>1283</v>
      </c>
      <c r="F1509" s="437">
        <f>ROUND(10,15)</f>
        <v>10</v>
      </c>
      <c r="G1509" s="437">
        <f t="shared" si="250"/>
        <v>168.97802695800021</v>
      </c>
      <c r="H1509" s="439">
        <f>ROUND(F1509*G1509,15)</f>
        <v>1689.7802695800001</v>
      </c>
      <c r="I1509" s="520">
        <v>202.8</v>
      </c>
    </row>
    <row r="1510" spans="1:9" ht="15.95" customHeight="1" thickBot="1">
      <c r="A1510" s="94" t="s">
        <v>1284</v>
      </c>
      <c r="B1510" s="95" t="s">
        <v>57</v>
      </c>
      <c r="C1510" s="74" t="s">
        <v>46</v>
      </c>
      <c r="D1510" s="74" t="s">
        <v>47</v>
      </c>
      <c r="E1510" s="78" t="s">
        <v>1285</v>
      </c>
      <c r="F1510" s="440">
        <f>ROUND(1,15)</f>
        <v>1</v>
      </c>
      <c r="G1510" s="440">
        <f t="shared" si="250"/>
        <v>1077.1182703593513</v>
      </c>
      <c r="H1510" s="441">
        <f>ROUND(F1510*G1510,15)</f>
        <v>1077.1182703593499</v>
      </c>
      <c r="I1510" s="520">
        <v>1292.71</v>
      </c>
    </row>
    <row r="1511" spans="1:9" ht="26.1" customHeight="1" thickBot="1">
      <c r="A1511" s="96" t="s">
        <v>1286</v>
      </c>
      <c r="B1511" s="97" t="s">
        <v>57</v>
      </c>
      <c r="C1511" s="60" t="s">
        <v>46</v>
      </c>
      <c r="D1511" s="60" t="s">
        <v>47</v>
      </c>
      <c r="E1511" s="61" t="s">
        <v>1287</v>
      </c>
      <c r="F1511" s="442">
        <f>ROUND(1,15)</f>
        <v>1</v>
      </c>
      <c r="G1511" s="437">
        <f t="shared" si="250"/>
        <v>175.24387884520019</v>
      </c>
      <c r="H1511" s="443">
        <f>ROUND(F1511*G1511,15)</f>
        <v>175.24387884519999</v>
      </c>
      <c r="I1511" s="520">
        <v>210.32</v>
      </c>
    </row>
    <row r="1512" spans="1:9" ht="15.75" thickTop="1" thickBot="1">
      <c r="A1512" s="680"/>
      <c r="B1512" s="681"/>
      <c r="C1512" s="681"/>
      <c r="D1512" s="682"/>
      <c r="E1512" s="676" t="s">
        <v>1279</v>
      </c>
      <c r="F1512" s="677"/>
      <c r="G1512" s="678">
        <f>H1508+H1509+H1510+H1511</f>
        <v>6132.9774988420504</v>
      </c>
      <c r="H1512" s="679">
        <f>ROUND(G1512,15)</f>
        <v>6132.9774988420504</v>
      </c>
      <c r="I1512" s="520"/>
    </row>
    <row r="1513" spans="1:9" ht="15.75" thickTop="1" thickBot="1">
      <c r="A1513" s="227" t="s">
        <v>1288</v>
      </c>
      <c r="B1513" s="228"/>
      <c r="C1513" s="228" t="s">
        <v>38</v>
      </c>
      <c r="D1513" s="229"/>
      <c r="E1513" s="230" t="s">
        <v>1289</v>
      </c>
      <c r="F1513" s="231"/>
      <c r="G1513" s="232">
        <f>G1518</f>
        <v>11760.34574453626</v>
      </c>
      <c r="H1513" s="233">
        <f>ROUND(G1513,15)</f>
        <v>11760.3457445363</v>
      </c>
      <c r="I1513" s="520"/>
    </row>
    <row r="1514" spans="1:9" ht="26.1" customHeight="1" thickTop="1" thickBot="1">
      <c r="A1514" s="90" t="s">
        <v>1290</v>
      </c>
      <c r="B1514" s="91" t="s">
        <v>57</v>
      </c>
      <c r="C1514" s="54" t="s">
        <v>46</v>
      </c>
      <c r="D1514" s="54" t="s">
        <v>47</v>
      </c>
      <c r="E1514" s="55" t="s">
        <v>1291</v>
      </c>
      <c r="F1514" s="436">
        <f>ROUND(1,15)</f>
        <v>1</v>
      </c>
      <c r="G1514" s="437">
        <f t="shared" ref="G1514:G1517" si="251">I1514*(100%-$I$14)</f>
        <v>1482.7738543066016</v>
      </c>
      <c r="H1514" s="438">
        <f>ROUND(F1514*G1514,15)</f>
        <v>1482.7738543066</v>
      </c>
      <c r="I1514" s="520">
        <v>1779.56</v>
      </c>
    </row>
    <row r="1515" spans="1:9" ht="15" thickBot="1">
      <c r="A1515" s="94" t="s">
        <v>1292</v>
      </c>
      <c r="B1515" s="95" t="s">
        <v>57</v>
      </c>
      <c r="C1515" s="74" t="s">
        <v>46</v>
      </c>
      <c r="D1515" s="74" t="s">
        <v>47</v>
      </c>
      <c r="E1515" s="78" t="s">
        <v>1293</v>
      </c>
      <c r="F1515" s="440">
        <f>ROUND(1,15)</f>
        <v>1</v>
      </c>
      <c r="G1515" s="440">
        <f t="shared" si="251"/>
        <v>2058.3573416947524</v>
      </c>
      <c r="H1515" s="441">
        <f>ROUND(F1515*G1515,15)</f>
        <v>2058.3573416947502</v>
      </c>
      <c r="I1515" s="520">
        <v>2470.35</v>
      </c>
    </row>
    <row r="1516" spans="1:9" ht="15" thickBot="1">
      <c r="A1516" s="94" t="s">
        <v>1294</v>
      </c>
      <c r="B1516" s="95" t="s">
        <v>57</v>
      </c>
      <c r="C1516" s="74" t="s">
        <v>46</v>
      </c>
      <c r="D1516" s="74" t="s">
        <v>47</v>
      </c>
      <c r="E1516" s="78" t="s">
        <v>1295</v>
      </c>
      <c r="F1516" s="440">
        <f>ROUND(22,15)</f>
        <v>22</v>
      </c>
      <c r="G1516" s="440">
        <f t="shared" si="251"/>
        <v>343.33868731910042</v>
      </c>
      <c r="H1516" s="441">
        <f>ROUND(F1516*G1516,15)</f>
        <v>7553.4511210202099</v>
      </c>
      <c r="I1516" s="520">
        <v>412.06</v>
      </c>
    </row>
    <row r="1517" spans="1:9" ht="15" thickBot="1">
      <c r="A1517" s="673" t="s">
        <v>1296</v>
      </c>
      <c r="B1517" s="674" t="s">
        <v>57</v>
      </c>
      <c r="C1517" s="167" t="s">
        <v>46</v>
      </c>
      <c r="D1517" s="167" t="s">
        <v>47</v>
      </c>
      <c r="E1517" s="406" t="s">
        <v>1297</v>
      </c>
      <c r="F1517" s="448">
        <f>ROUND(2,15)</f>
        <v>2</v>
      </c>
      <c r="G1517" s="448">
        <f t="shared" si="251"/>
        <v>332.88171375735038</v>
      </c>
      <c r="H1517" s="449">
        <f>ROUND(F1517*G1517,15)</f>
        <v>665.76342751470099</v>
      </c>
      <c r="I1517" s="520">
        <v>399.51</v>
      </c>
    </row>
    <row r="1518" spans="1:9" ht="15.75" thickTop="1" thickBot="1">
      <c r="A1518" s="51"/>
      <c r="B1518" s="52"/>
      <c r="C1518" s="52"/>
      <c r="D1518" s="136"/>
      <c r="E1518" s="676" t="s">
        <v>1288</v>
      </c>
      <c r="F1518" s="677"/>
      <c r="G1518" s="678">
        <f>H1514+H1515+H1516+H1517</f>
        <v>11760.34574453626</v>
      </c>
      <c r="H1518" s="679">
        <f>ROUND(G1518,15)</f>
        <v>11760.3457445363</v>
      </c>
      <c r="I1518" s="520"/>
    </row>
    <row r="1519" spans="1:9" ht="15.75" thickTop="1" thickBot="1">
      <c r="A1519" s="227" t="s">
        <v>1298</v>
      </c>
      <c r="B1519" s="228"/>
      <c r="C1519" s="228" t="s">
        <v>38</v>
      </c>
      <c r="D1519" s="229"/>
      <c r="E1519" s="230" t="s">
        <v>1070</v>
      </c>
      <c r="F1519" s="231"/>
      <c r="G1519" s="232">
        <f>G1521</f>
        <v>14487.6577654383</v>
      </c>
      <c r="H1519" s="233">
        <f>ROUND(G1519,15)</f>
        <v>14487.6577654383</v>
      </c>
      <c r="I1519" s="520"/>
    </row>
    <row r="1520" spans="1:9" ht="26.1" customHeight="1" thickTop="1" thickBot="1">
      <c r="A1520" s="98" t="s">
        <v>1299</v>
      </c>
      <c r="B1520" s="99" t="s">
        <v>45</v>
      </c>
      <c r="C1520" s="70" t="s">
        <v>46</v>
      </c>
      <c r="D1520" s="70" t="s">
        <v>47</v>
      </c>
      <c r="E1520" s="71" t="s">
        <v>1300</v>
      </c>
      <c r="F1520" s="444">
        <f>ROUND(1,15)</f>
        <v>1</v>
      </c>
      <c r="G1520" s="437">
        <f t="shared" ref="G1520" si="252">I1520*(100%-$I$14)</f>
        <v>14487.657765438267</v>
      </c>
      <c r="H1520" s="445">
        <f>ROUND(F1520*G1520,15)</f>
        <v>14487.6577654383</v>
      </c>
      <c r="I1520" s="520">
        <v>17387.45</v>
      </c>
    </row>
    <row r="1521" spans="1:9" ht="15.75" thickTop="1" thickBot="1">
      <c r="A1521" s="85"/>
      <c r="B1521" s="86"/>
      <c r="C1521" s="86"/>
      <c r="D1521" s="112"/>
      <c r="E1521" s="676" t="s">
        <v>1298</v>
      </c>
      <c r="F1521" s="677"/>
      <c r="G1521" s="678">
        <f>H1520</f>
        <v>14487.6577654383</v>
      </c>
      <c r="H1521" s="679">
        <f>ROUND(G1521,15)</f>
        <v>14487.6577654383</v>
      </c>
      <c r="I1521" s="520"/>
    </row>
    <row r="1522" spans="1:9" ht="15.75" thickTop="1" thickBot="1">
      <c r="A1522" s="114"/>
      <c r="B1522" s="115"/>
      <c r="C1522" s="115"/>
      <c r="D1522" s="116"/>
      <c r="E1522" s="676" t="s">
        <v>1257</v>
      </c>
      <c r="F1522" s="677"/>
      <c r="G1522" s="678">
        <f>H1497+H1506+H1512+H1518+H1521</f>
        <v>84013.258677064747</v>
      </c>
      <c r="H1522" s="679">
        <f>ROUND(G1522,15)</f>
        <v>84013.258677064703</v>
      </c>
      <c r="I1522" s="520"/>
    </row>
    <row r="1523" spans="1:9" ht="15.75" thickTop="1" thickBot="1">
      <c r="A1523" s="213" t="s">
        <v>1301</v>
      </c>
      <c r="B1523" s="214"/>
      <c r="C1523" s="214" t="s">
        <v>38</v>
      </c>
      <c r="D1523" s="215"/>
      <c r="E1523" s="216" t="s">
        <v>1144</v>
      </c>
      <c r="F1523" s="217"/>
      <c r="G1523" s="218">
        <f>G1531</f>
        <v>76504.660056987093</v>
      </c>
      <c r="H1523" s="219">
        <f>ROUND(G1523,15)</f>
        <v>76504.660056987093</v>
      </c>
      <c r="I1523" s="520"/>
    </row>
    <row r="1524" spans="1:9" ht="15" thickBot="1">
      <c r="A1524" s="220" t="s">
        <v>1302</v>
      </c>
      <c r="B1524" s="221"/>
      <c r="C1524" s="221" t="s">
        <v>38</v>
      </c>
      <c r="D1524" s="222"/>
      <c r="E1524" s="223" t="s">
        <v>1303</v>
      </c>
      <c r="F1524" s="224"/>
      <c r="G1524" s="225">
        <f>G1530</f>
        <v>76504.660056987079</v>
      </c>
      <c r="H1524" s="226">
        <f>ROUND(G1524,15)</f>
        <v>76504.660056987093</v>
      </c>
      <c r="I1524" s="520"/>
    </row>
    <row r="1525" spans="1:9" ht="26.1" customHeight="1" thickTop="1" thickBot="1">
      <c r="A1525" s="90" t="s">
        <v>1304</v>
      </c>
      <c r="B1525" s="91" t="s">
        <v>57</v>
      </c>
      <c r="C1525" s="54" t="s">
        <v>46</v>
      </c>
      <c r="D1525" s="54" t="s">
        <v>47</v>
      </c>
      <c r="E1525" s="55" t="s">
        <v>1473</v>
      </c>
      <c r="F1525" s="436">
        <f>ROUND(5,15)</f>
        <v>5</v>
      </c>
      <c r="G1525" s="437">
        <f t="shared" ref="G1525:G1529" si="253">I1525*(100%-$I$14)</f>
        <v>1761.695918035352</v>
      </c>
      <c r="H1525" s="438">
        <f>ROUND(F1525*G1525,15)</f>
        <v>8808.4795901767593</v>
      </c>
      <c r="I1525" s="520">
        <v>2114.31</v>
      </c>
    </row>
    <row r="1526" spans="1:9" ht="26.1" customHeight="1" thickBot="1">
      <c r="A1526" s="92" t="s">
        <v>1305</v>
      </c>
      <c r="B1526" s="93" t="s">
        <v>57</v>
      </c>
      <c r="C1526" s="58" t="s">
        <v>46</v>
      </c>
      <c r="D1526" s="58" t="s">
        <v>47</v>
      </c>
      <c r="E1526" s="59" t="s">
        <v>1474</v>
      </c>
      <c r="F1526" s="437">
        <f>ROUND(2,15)</f>
        <v>2</v>
      </c>
      <c r="G1526" s="437">
        <f t="shared" si="253"/>
        <v>2604.7529578583531</v>
      </c>
      <c r="H1526" s="439">
        <f>ROUND(F1526*G1526,15)</f>
        <v>5209.5059157167098</v>
      </c>
      <c r="I1526" s="520">
        <v>3126.11</v>
      </c>
    </row>
    <row r="1527" spans="1:9" ht="26.1" customHeight="1" thickBot="1">
      <c r="A1527" s="92" t="s">
        <v>1306</v>
      </c>
      <c r="B1527" s="93" t="s">
        <v>57</v>
      </c>
      <c r="C1527" s="58" t="s">
        <v>46</v>
      </c>
      <c r="D1527" s="58" t="s">
        <v>47</v>
      </c>
      <c r="E1527" s="59" t="s">
        <v>1475</v>
      </c>
      <c r="F1527" s="437">
        <f>ROUND(2,15)</f>
        <v>2</v>
      </c>
      <c r="G1527" s="437">
        <f t="shared" si="253"/>
        <v>3179.1116045185536</v>
      </c>
      <c r="H1527" s="439">
        <f>ROUND(F1527*G1527,15)</f>
        <v>6358.2232090371099</v>
      </c>
      <c r="I1527" s="520">
        <v>3815.43</v>
      </c>
    </row>
    <row r="1528" spans="1:9" ht="26.1" customHeight="1" thickBot="1">
      <c r="A1528" s="92" t="s">
        <v>1307</v>
      </c>
      <c r="B1528" s="93" t="s">
        <v>57</v>
      </c>
      <c r="C1528" s="58" t="s">
        <v>46</v>
      </c>
      <c r="D1528" s="58" t="s">
        <v>47</v>
      </c>
      <c r="E1528" s="59" t="s">
        <v>1476</v>
      </c>
      <c r="F1528" s="437">
        <f>ROUND(6,15)</f>
        <v>6</v>
      </c>
      <c r="G1528" s="437">
        <f t="shared" si="253"/>
        <v>4127.8882304383542</v>
      </c>
      <c r="H1528" s="439">
        <f>ROUND(F1528*G1528,15)</f>
        <v>24767.329382630101</v>
      </c>
      <c r="I1528" s="520">
        <v>4954.1099999999997</v>
      </c>
    </row>
    <row r="1529" spans="1:9" ht="26.1" customHeight="1" thickBot="1">
      <c r="A1529" s="96" t="s">
        <v>1308</v>
      </c>
      <c r="B1529" s="97" t="s">
        <v>57</v>
      </c>
      <c r="C1529" s="60" t="s">
        <v>46</v>
      </c>
      <c r="D1529" s="60" t="s">
        <v>47</v>
      </c>
      <c r="E1529" s="61" t="s">
        <v>1477</v>
      </c>
      <c r="F1529" s="442">
        <f>ROUND(4,15)</f>
        <v>4</v>
      </c>
      <c r="G1529" s="437">
        <f t="shared" si="253"/>
        <v>7840.2804898566092</v>
      </c>
      <c r="H1529" s="443">
        <f>ROUND(F1529*G1529,15)</f>
        <v>31361.1219594264</v>
      </c>
      <c r="I1529" s="520">
        <v>9409.56</v>
      </c>
    </row>
    <row r="1530" spans="1:9" ht="15.75" thickTop="1" thickBot="1">
      <c r="A1530" s="85"/>
      <c r="B1530" s="86"/>
      <c r="C1530" s="86"/>
      <c r="D1530" s="112"/>
      <c r="E1530" s="676" t="s">
        <v>1302</v>
      </c>
      <c r="F1530" s="677"/>
      <c r="G1530" s="678">
        <f>H1525+H1526+H1527+H1528+H1529</f>
        <v>76504.660056987079</v>
      </c>
      <c r="H1530" s="679">
        <f>ROUND(G1530,15)</f>
        <v>76504.660056987093</v>
      </c>
      <c r="I1530" s="520"/>
    </row>
    <row r="1531" spans="1:9" ht="15.75" thickTop="1" thickBot="1">
      <c r="A1531" s="114"/>
      <c r="B1531" s="115"/>
      <c r="C1531" s="115"/>
      <c r="D1531" s="116"/>
      <c r="E1531" s="676" t="s">
        <v>1301</v>
      </c>
      <c r="F1531" s="677"/>
      <c r="G1531" s="678">
        <f>H1530</f>
        <v>76504.660056987093</v>
      </c>
      <c r="H1531" s="679">
        <f>ROUND(G1531,15)</f>
        <v>76504.660056987093</v>
      </c>
      <c r="I1531" s="520"/>
    </row>
    <row r="1532" spans="1:9" ht="15.75" thickTop="1" thickBot="1">
      <c r="A1532" s="237" t="s">
        <v>1309</v>
      </c>
      <c r="B1532" s="238"/>
      <c r="C1532" s="238" t="s">
        <v>38</v>
      </c>
      <c r="D1532" s="239"/>
      <c r="E1532" s="348" t="s">
        <v>1160</v>
      </c>
      <c r="F1532" s="241"/>
      <c r="G1532" s="242">
        <f>G1535</f>
        <v>4012.6282182633004</v>
      </c>
      <c r="H1532" s="243">
        <f>ROUND(G1532,15)</f>
        <v>4012.6282182632999</v>
      </c>
      <c r="I1532" s="520"/>
    </row>
    <row r="1533" spans="1:9" ht="26.1" customHeight="1" thickTop="1" thickBot="1">
      <c r="A1533" s="90">
        <v>101118</v>
      </c>
      <c r="B1533" s="91" t="s">
        <v>45</v>
      </c>
      <c r="C1533" s="54" t="s">
        <v>46</v>
      </c>
      <c r="D1533" s="54" t="s">
        <v>47</v>
      </c>
      <c r="E1533" s="675" t="s">
        <v>1527</v>
      </c>
      <c r="F1533" s="436">
        <f>ROUND(2,15)</f>
        <v>2</v>
      </c>
      <c r="G1533" s="437">
        <f t="shared" ref="G1533:G1534" si="254">I1533*(100%-$I$14)</f>
        <v>1492.9891926227017</v>
      </c>
      <c r="H1533" s="438">
        <f>ROUND(F1533*G1533,15)</f>
        <v>2985.9783852454002</v>
      </c>
      <c r="I1533" s="520">
        <v>1791.82</v>
      </c>
    </row>
    <row r="1534" spans="1:9" ht="26.1" customHeight="1" thickBot="1">
      <c r="A1534" s="96">
        <v>102113</v>
      </c>
      <c r="B1534" s="97" t="s">
        <v>45</v>
      </c>
      <c r="C1534" s="60" t="s">
        <v>46</v>
      </c>
      <c r="D1534" s="60" t="s">
        <v>47</v>
      </c>
      <c r="E1534" s="675" t="s">
        <v>1528</v>
      </c>
      <c r="F1534" s="442">
        <f>ROUND(1,15)</f>
        <v>1</v>
      </c>
      <c r="G1534" s="437">
        <f t="shared" si="254"/>
        <v>1026.6498330179013</v>
      </c>
      <c r="H1534" s="443">
        <f>ROUND(F1534*G1534,15)</f>
        <v>1026.6498330178999</v>
      </c>
      <c r="I1534" s="520">
        <v>1232.1400000000001</v>
      </c>
    </row>
    <row r="1535" spans="1:9" ht="15.75" thickTop="1" thickBot="1">
      <c r="A1535" s="51"/>
      <c r="B1535" s="52"/>
      <c r="C1535" s="52"/>
      <c r="D1535" s="136"/>
      <c r="E1535" s="240" t="s">
        <v>1309</v>
      </c>
      <c r="F1535" s="241"/>
      <c r="G1535" s="242">
        <f>H1533+H1534</f>
        <v>4012.6282182633004</v>
      </c>
      <c r="H1535" s="243">
        <f>ROUND(G1535,15)</f>
        <v>4012.6282182632999</v>
      </c>
      <c r="I1535" s="520"/>
    </row>
    <row r="1536" spans="1:9" ht="15.75" thickTop="1" thickBot="1">
      <c r="A1536" s="237" t="s">
        <v>1310</v>
      </c>
      <c r="B1536" s="238"/>
      <c r="C1536" s="238" t="s">
        <v>38</v>
      </c>
      <c r="D1536" s="239"/>
      <c r="E1536" s="348" t="s">
        <v>277</v>
      </c>
      <c r="F1536" s="241"/>
      <c r="G1536" s="242">
        <f>G1538</f>
        <v>4117.5645728742002</v>
      </c>
      <c r="H1536" s="243">
        <f>ROUND(G1536,15)</f>
        <v>4117.5645728742002</v>
      </c>
      <c r="I1536" s="520"/>
    </row>
    <row r="1537" spans="1:9" ht="26.1" customHeight="1" thickTop="1" thickBot="1">
      <c r="A1537" s="98" t="s">
        <v>1311</v>
      </c>
      <c r="B1537" s="99" t="s">
        <v>57</v>
      </c>
      <c r="C1537" s="70" t="s">
        <v>46</v>
      </c>
      <c r="D1537" s="70" t="s">
        <v>47</v>
      </c>
      <c r="E1537" s="71" t="s">
        <v>1529</v>
      </c>
      <c r="F1537" s="444">
        <f>ROUND(1,15)</f>
        <v>1</v>
      </c>
      <c r="G1537" s="437">
        <f t="shared" ref="G1537" si="255">I1537*(100%-$I$14)</f>
        <v>4117.5645728742047</v>
      </c>
      <c r="H1537" s="445">
        <f>ROUND(F1537*G1537,15)</f>
        <v>4117.5645728742002</v>
      </c>
      <c r="I1537" s="520">
        <v>4941.72</v>
      </c>
    </row>
    <row r="1538" spans="1:9" ht="15.75" thickTop="1" thickBot="1">
      <c r="A1538" s="85"/>
      <c r="B1538" s="86"/>
      <c r="C1538" s="86"/>
      <c r="D1538" s="112"/>
      <c r="E1538" s="676" t="s">
        <v>1310</v>
      </c>
      <c r="F1538" s="677"/>
      <c r="G1538" s="678">
        <f>H1537</f>
        <v>4117.5645728742002</v>
      </c>
      <c r="H1538" s="679">
        <f>ROUND(G1538,15)</f>
        <v>4117.5645728742002</v>
      </c>
    </row>
    <row r="1539" spans="1:9" ht="15.75" thickTop="1" thickBot="1">
      <c r="A1539" s="75"/>
      <c r="B1539" s="76"/>
      <c r="C1539" s="76"/>
      <c r="D1539" s="113"/>
      <c r="E1539" s="676" t="s">
        <v>1255</v>
      </c>
      <c r="F1539" s="677"/>
      <c r="G1539" s="678">
        <f>H1522+H1531+H1535+H1538</f>
        <v>168648.11152518931</v>
      </c>
      <c r="H1539" s="679">
        <f>ROUND(G1539,15)</f>
        <v>168648.11152518899</v>
      </c>
    </row>
    <row r="1540" spans="1:9" ht="18" customHeight="1" thickTop="1" thickBot="1">
      <c r="A1540" s="75"/>
      <c r="B1540" s="76"/>
      <c r="C1540" s="76"/>
      <c r="D1540" s="113"/>
      <c r="E1540" s="171" t="s">
        <v>1312</v>
      </c>
      <c r="F1540" s="172"/>
      <c r="G1540" s="173">
        <f>H118+H388+H678+H1079+H1400+H1413+H1471+H1478+H1483+H1491+H1539</f>
        <v>4503619.867043308</v>
      </c>
      <c r="H1540" s="174">
        <f>ROUND(G1540,15)</f>
        <v>4503619.8670433098</v>
      </c>
    </row>
    <row r="1541" spans="1:9" ht="18" customHeight="1" thickTop="1" thickBot="1">
      <c r="A1541" s="75"/>
      <c r="B1541" s="76"/>
      <c r="C1541" s="76"/>
      <c r="D1541" s="113"/>
      <c r="E1541" s="175" t="s">
        <v>1313</v>
      </c>
      <c r="F1541" s="713"/>
      <c r="G1541" s="714"/>
      <c r="H1541" s="176">
        <f>H1540-H1492</f>
        <v>4334971.7555181207</v>
      </c>
    </row>
    <row r="1542" spans="1:9" ht="18" customHeight="1" thickTop="1" thickBot="1">
      <c r="A1542" s="75"/>
      <c r="B1542" s="76"/>
      <c r="C1542" s="76"/>
      <c r="D1542" s="113"/>
      <c r="E1542" s="177" t="s">
        <v>1530</v>
      </c>
      <c r="F1542" s="713"/>
      <c r="G1542" s="714"/>
      <c r="H1542" s="178">
        <f>H1541*('BDI Edificações'!$F$12+1)</f>
        <v>5217572.0049416097</v>
      </c>
    </row>
    <row r="1543" spans="1:9" ht="18" customHeight="1" thickTop="1" thickBot="1">
      <c r="A1543" s="75"/>
      <c r="B1543" s="76"/>
      <c r="C1543" s="76"/>
      <c r="D1543" s="113"/>
      <c r="E1543" s="171" t="s">
        <v>1314</v>
      </c>
      <c r="F1543" s="713"/>
      <c r="G1543" s="714"/>
      <c r="H1543" s="174">
        <f>H1492</f>
        <v>168648.11152518899</v>
      </c>
    </row>
    <row r="1544" spans="1:9" ht="18" customHeight="1" thickTop="1" thickBot="1">
      <c r="A1544" s="75"/>
      <c r="B1544" s="76"/>
      <c r="C1544" s="76"/>
      <c r="D1544" s="113"/>
      <c r="E1544" s="175" t="s">
        <v>1531</v>
      </c>
      <c r="F1544" s="713"/>
      <c r="G1544" s="714"/>
      <c r="H1544" s="176">
        <f>H1543*('BDI Equipamentos'!$F$12+1)</f>
        <v>187368.05190448495</v>
      </c>
    </row>
    <row r="1545" spans="1:9" ht="18" customHeight="1" thickTop="1" thickBot="1">
      <c r="A1545" s="114"/>
      <c r="B1545" s="115"/>
      <c r="C1545" s="115"/>
      <c r="D1545" s="116"/>
      <c r="E1545" s="169" t="s">
        <v>1315</v>
      </c>
      <c r="F1545" s="715"/>
      <c r="G1545" s="716"/>
      <c r="H1545" s="170">
        <f>H1542+H1544</f>
        <v>5404940.0568460943</v>
      </c>
    </row>
    <row r="1546" spans="1:9" ht="30" customHeight="1" thickTop="1" thickBot="1">
      <c r="A1546" s="752" t="s">
        <v>1532</v>
      </c>
      <c r="B1546" s="753"/>
      <c r="C1546" s="753"/>
      <c r="D1546" s="753"/>
      <c r="E1546" s="753"/>
      <c r="F1546" s="753"/>
      <c r="G1546" s="753"/>
      <c r="H1546" s="754"/>
    </row>
    <row r="1547" spans="1:9" ht="15.95" customHeight="1" thickTop="1">
      <c r="A1547" s="39"/>
      <c r="B1547" s="40"/>
      <c r="C1547" s="40"/>
      <c r="D1547" s="41"/>
      <c r="E1547" s="42"/>
      <c r="F1547" s="40"/>
      <c r="G1547" s="40"/>
      <c r="H1547" s="43"/>
    </row>
    <row r="1548" spans="1:9" ht="15.95" customHeight="1">
      <c r="A1548" s="39"/>
      <c r="B1548" s="40"/>
      <c r="C1548" s="40"/>
      <c r="D1548" s="41"/>
      <c r="E1548" s="42"/>
      <c r="F1548" s="40"/>
      <c r="G1548" s="40"/>
      <c r="H1548" s="43"/>
    </row>
    <row r="1549" spans="1:9" ht="15.95" customHeight="1">
      <c r="A1549" s="39"/>
      <c r="B1549" s="40"/>
      <c r="C1549" s="40"/>
      <c r="D1549" s="41"/>
      <c r="E1549" s="42"/>
      <c r="F1549" s="40"/>
      <c r="G1549" s="40"/>
      <c r="H1549" s="43"/>
    </row>
    <row r="1550" spans="1:9" ht="15.95" customHeight="1">
      <c r="A1550" s="39"/>
      <c r="B1550" s="40"/>
      <c r="C1550" s="40"/>
      <c r="D1550" s="41"/>
      <c r="E1550" s="42"/>
      <c r="F1550" s="40"/>
      <c r="G1550" s="40"/>
      <c r="H1550" s="43"/>
    </row>
    <row r="1551" spans="1:9" ht="15.95" customHeight="1">
      <c r="A1551" s="39"/>
      <c r="B1551" s="40"/>
      <c r="C1551" s="40"/>
      <c r="D1551" s="41"/>
      <c r="E1551" s="42"/>
      <c r="F1551" s="40"/>
      <c r="G1551" s="40"/>
      <c r="H1551" s="43"/>
    </row>
    <row r="1552" spans="1:9" ht="15.95" customHeight="1">
      <c r="A1552" s="39"/>
      <c r="B1552" s="40"/>
      <c r="C1552" s="40"/>
      <c r="D1552" s="41"/>
      <c r="E1552" s="42"/>
      <c r="F1552" s="40"/>
      <c r="G1552" s="40"/>
      <c r="H1552" s="43"/>
    </row>
    <row r="1553" spans="1:9" ht="18" customHeight="1">
      <c r="A1553" s="747" t="s">
        <v>1413</v>
      </c>
      <c r="B1553" s="739"/>
      <c r="C1553" s="739"/>
      <c r="D1553" s="739"/>
      <c r="E1553" s="739"/>
      <c r="F1553" s="739"/>
      <c r="G1553" s="739"/>
      <c r="H1553" s="748"/>
    </row>
    <row r="1554" spans="1:9" ht="18" customHeight="1">
      <c r="A1554" s="747" t="s">
        <v>1414</v>
      </c>
      <c r="B1554" s="739"/>
      <c r="C1554" s="739"/>
      <c r="D1554" s="739"/>
      <c r="E1554" s="739"/>
      <c r="F1554" s="739"/>
      <c r="G1554" s="739"/>
      <c r="H1554" s="748"/>
    </row>
    <row r="1555" spans="1:9" ht="18" customHeight="1">
      <c r="A1555" s="747" t="s">
        <v>1533</v>
      </c>
      <c r="B1555" s="739"/>
      <c r="C1555" s="739"/>
      <c r="D1555" s="739"/>
      <c r="E1555" s="739"/>
      <c r="F1555" s="739"/>
      <c r="G1555" s="739"/>
      <c r="H1555" s="748"/>
      <c r="I1555" s="712"/>
    </row>
    <row r="1556" spans="1:9" ht="18" customHeight="1">
      <c r="A1556" s="747" t="s">
        <v>1534</v>
      </c>
      <c r="B1556" s="739"/>
      <c r="C1556" s="739"/>
      <c r="D1556" s="739"/>
      <c r="E1556" s="739"/>
      <c r="F1556" s="739"/>
      <c r="G1556" s="739"/>
      <c r="H1556" s="748"/>
    </row>
    <row r="1557" spans="1:9" ht="18" customHeight="1" thickBot="1">
      <c r="A1557" s="749" t="s">
        <v>1535</v>
      </c>
      <c r="B1557" s="750"/>
      <c r="C1557" s="750"/>
      <c r="D1557" s="750"/>
      <c r="E1557" s="750"/>
      <c r="F1557" s="750"/>
      <c r="G1557" s="750"/>
      <c r="H1557" s="751"/>
    </row>
    <row r="1558" spans="1:9" ht="15" thickTop="1"/>
  </sheetData>
  <mergeCells count="24">
    <mergeCell ref="A1556:H1556"/>
    <mergeCell ref="A1557:H1557"/>
    <mergeCell ref="A1546:H1546"/>
    <mergeCell ref="A1553:H1553"/>
    <mergeCell ref="A1554:H1554"/>
    <mergeCell ref="A1555:H1555"/>
    <mergeCell ref="A11:E11"/>
    <mergeCell ref="A12:E12"/>
    <mergeCell ref="A13:E13"/>
    <mergeCell ref="I15:I17"/>
    <mergeCell ref="F11:H11"/>
    <mergeCell ref="F12:H12"/>
    <mergeCell ref="A14:E14"/>
    <mergeCell ref="A15:E15"/>
    <mergeCell ref="A17:H17"/>
    <mergeCell ref="L2:L3"/>
    <mergeCell ref="A7:H7"/>
    <mergeCell ref="F9:H9"/>
    <mergeCell ref="F10:H10"/>
    <mergeCell ref="I2:I3"/>
    <mergeCell ref="J2:J3"/>
    <mergeCell ref="K2:K3"/>
    <mergeCell ref="A9:E9"/>
    <mergeCell ref="A10:E10"/>
  </mergeCells>
  <printOptions horizontalCentered="1"/>
  <pageMargins left="0.59055118110236227" right="0.19685039370078741" top="0.39370078740157483" bottom="0.39370078740157483" header="0" footer="0"/>
  <pageSetup paperSize="9" scale="55" orientation="portrait" horizontalDpi="360" verticalDpi="360" r:id="rId1"/>
  <rowBreaks count="23" manualBreakCount="23">
    <brk id="65" max="7" man="1"/>
    <brk id="134" max="7" man="1"/>
    <brk id="195" max="7" man="1"/>
    <brk id="252" max="7" man="1"/>
    <brk id="321" max="7" man="1"/>
    <brk id="378" max="7" man="1"/>
    <brk id="450" max="7" man="1"/>
    <brk id="525" max="7" man="1"/>
    <brk id="597" max="7" man="1"/>
    <brk id="671" max="7" man="1"/>
    <brk id="729" max="7" man="1"/>
    <brk id="785" max="7" man="1"/>
    <brk id="850" max="7" man="1"/>
    <brk id="917" max="7" man="1"/>
    <brk id="979" max="7" man="1"/>
    <brk id="1038" max="7" man="1"/>
    <brk id="1101" max="7" man="1"/>
    <brk id="1166" max="7" man="1"/>
    <brk id="1228" max="7" man="1"/>
    <brk id="1295" max="7" man="1"/>
    <brk id="1361" max="7" man="1"/>
    <brk id="1430" max="7" man="1"/>
    <brk id="149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view="pageBreakPreview" topLeftCell="D7" zoomScaleNormal="100" zoomScaleSheetLayoutView="100" workbookViewId="0">
      <selection activeCell="Q13" sqref="Q13"/>
    </sheetView>
  </sheetViews>
  <sheetFormatPr defaultRowHeight="14.25"/>
  <cols>
    <col min="1" max="1" width="12.625" customWidth="1"/>
    <col min="2" max="2" width="50.625" customWidth="1"/>
    <col min="3" max="3" width="13.625" customWidth="1"/>
    <col min="4" max="4" width="10.625" customWidth="1"/>
    <col min="5" max="11" width="11.625" customWidth="1"/>
    <col min="12" max="15" width="12.625" customWidth="1"/>
    <col min="16" max="16" width="15.625" customWidth="1"/>
    <col min="17" max="17" width="4.625" customWidth="1"/>
    <col min="18" max="18" width="13.625" style="9" customWidth="1"/>
  </cols>
  <sheetData>
    <row r="1" spans="1:16" ht="16.5" thickTop="1">
      <c r="A1" s="617"/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9"/>
    </row>
    <row r="2" spans="1:16" ht="15.75">
      <c r="A2" s="620"/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21"/>
    </row>
    <row r="3" spans="1:16" ht="15.75">
      <c r="A3" s="620"/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21"/>
    </row>
    <row r="4" spans="1:16" ht="15.75">
      <c r="A4" s="620"/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21"/>
    </row>
    <row r="5" spans="1:16" ht="15.75">
      <c r="A5" s="620"/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21"/>
    </row>
    <row r="6" spans="1:16" ht="15.75">
      <c r="A6" s="620"/>
      <c r="B6" s="616"/>
      <c r="C6" s="616"/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21"/>
    </row>
    <row r="7" spans="1:16" ht="18" customHeight="1">
      <c r="A7" s="767" t="s">
        <v>1478</v>
      </c>
      <c r="B7" s="768"/>
      <c r="C7" s="768"/>
      <c r="D7" s="768"/>
      <c r="E7" s="768"/>
      <c r="F7" s="768"/>
      <c r="G7" s="768"/>
      <c r="H7" s="768"/>
      <c r="I7" s="768"/>
      <c r="J7" s="768"/>
      <c r="K7" s="768"/>
      <c r="L7" s="768"/>
      <c r="M7" s="768"/>
      <c r="N7" s="768"/>
      <c r="O7" s="768"/>
      <c r="P7" s="769"/>
    </row>
    <row r="8" spans="1:16" ht="15.75">
      <c r="A8" s="620"/>
      <c r="B8" s="616"/>
      <c r="C8" s="616"/>
      <c r="D8" s="616"/>
      <c r="E8" s="616"/>
      <c r="F8" s="616"/>
      <c r="G8" s="616"/>
      <c r="H8" s="616"/>
      <c r="I8" s="616"/>
      <c r="J8" s="616"/>
      <c r="K8" s="616"/>
      <c r="L8" s="616"/>
      <c r="M8" s="616"/>
      <c r="N8" s="616"/>
      <c r="O8" s="616"/>
      <c r="P8" s="621"/>
    </row>
    <row r="9" spans="1:16" ht="18" customHeight="1">
      <c r="A9" s="770" t="s">
        <v>1316</v>
      </c>
      <c r="B9" s="771"/>
      <c r="C9" s="771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621"/>
    </row>
    <row r="10" spans="1:16" ht="17.25">
      <c r="A10" s="772"/>
      <c r="B10" s="773"/>
      <c r="C10" s="773"/>
      <c r="D10" s="626"/>
      <c r="E10" s="626"/>
      <c r="F10" s="626"/>
      <c r="G10" s="626"/>
      <c r="H10" s="626"/>
      <c r="I10" s="626"/>
      <c r="J10" s="626"/>
      <c r="K10" s="626"/>
      <c r="L10" s="626"/>
      <c r="M10" s="626"/>
      <c r="N10" s="626"/>
      <c r="O10" s="626"/>
      <c r="P10" s="627"/>
    </row>
    <row r="11" spans="1:16" ht="18" customHeight="1">
      <c r="A11" s="774" t="s">
        <v>1318</v>
      </c>
      <c r="B11" s="775"/>
      <c r="C11" s="775"/>
      <c r="D11" s="628"/>
      <c r="E11" s="629"/>
      <c r="F11" s="629"/>
      <c r="G11" s="629"/>
      <c r="H11" s="629"/>
      <c r="I11" s="629"/>
      <c r="J11" s="629"/>
      <c r="K11" s="629"/>
      <c r="L11" s="629"/>
      <c r="M11" s="629"/>
      <c r="N11" s="629"/>
      <c r="O11" s="624" t="s">
        <v>1320</v>
      </c>
      <c r="P11" s="625" t="s">
        <v>1485</v>
      </c>
    </row>
    <row r="12" spans="1:16" ht="18" customHeight="1">
      <c r="A12" s="717" t="s">
        <v>1319</v>
      </c>
      <c r="B12" s="718" t="s">
        <v>32</v>
      </c>
      <c r="C12" s="17"/>
      <c r="D12" s="17"/>
      <c r="E12" s="17"/>
      <c r="F12" s="29"/>
      <c r="G12" s="29"/>
      <c r="H12" s="29"/>
      <c r="I12" s="29"/>
      <c r="J12" s="29"/>
      <c r="K12" s="29"/>
      <c r="L12" s="29"/>
      <c r="M12" s="29"/>
      <c r="N12" s="29"/>
      <c r="O12" s="624" t="s">
        <v>1323</v>
      </c>
      <c r="P12" s="632">
        <v>44228</v>
      </c>
    </row>
    <row r="13" spans="1:16" ht="18" customHeight="1">
      <c r="A13" s="717" t="s">
        <v>1321</v>
      </c>
      <c r="B13" s="719" t="s">
        <v>1322</v>
      </c>
      <c r="C13" s="628"/>
      <c r="D13" s="631"/>
      <c r="E13" s="628"/>
      <c r="F13" s="628"/>
      <c r="G13" s="628"/>
      <c r="H13" s="628"/>
      <c r="I13" s="628"/>
      <c r="J13" s="628"/>
      <c r="K13" s="628"/>
      <c r="L13" s="628"/>
      <c r="M13" s="628"/>
      <c r="N13" s="776" t="s">
        <v>1484</v>
      </c>
      <c r="O13" s="777"/>
      <c r="P13" s="707">
        <v>1.111</v>
      </c>
    </row>
    <row r="14" spans="1:16" ht="15">
      <c r="A14" s="622"/>
      <c r="B14" s="630"/>
      <c r="C14" s="628"/>
      <c r="D14" s="631"/>
      <c r="E14" s="628"/>
      <c r="F14" s="628"/>
      <c r="G14" s="628"/>
      <c r="H14" s="628"/>
      <c r="I14" s="628"/>
      <c r="J14" s="628"/>
      <c r="K14" s="628"/>
      <c r="L14" s="628"/>
      <c r="M14" s="628"/>
      <c r="N14" s="709"/>
      <c r="O14" s="710"/>
      <c r="P14" s="707"/>
    </row>
    <row r="15" spans="1:16" ht="20.100000000000001" customHeight="1">
      <c r="A15" s="767" t="s">
        <v>1317</v>
      </c>
      <c r="B15" s="768"/>
      <c r="C15" s="768"/>
      <c r="D15" s="768"/>
      <c r="E15" s="768"/>
      <c r="F15" s="768"/>
      <c r="G15" s="768"/>
      <c r="H15" s="768"/>
      <c r="I15" s="768"/>
      <c r="J15" s="768"/>
      <c r="K15" s="768"/>
      <c r="L15" s="768"/>
      <c r="M15" s="768"/>
      <c r="N15" s="768"/>
      <c r="O15" s="768"/>
      <c r="P15" s="769"/>
    </row>
    <row r="16" spans="1:16" ht="15" thickBot="1">
      <c r="A16" s="623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765" t="s">
        <v>1483</v>
      </c>
      <c r="O16" s="766"/>
      <c r="P16" s="707">
        <v>1.2036</v>
      </c>
    </row>
    <row r="17" spans="1:19" ht="21.95" customHeight="1" thickTop="1" thickBot="1">
      <c r="A17" s="760" t="s">
        <v>4</v>
      </c>
      <c r="B17" s="758" t="s">
        <v>1324</v>
      </c>
      <c r="C17" s="758" t="s">
        <v>1482</v>
      </c>
      <c r="D17" s="762" t="s">
        <v>6</v>
      </c>
      <c r="E17" s="778" t="s">
        <v>1325</v>
      </c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80"/>
    </row>
    <row r="18" spans="1:19" ht="21.95" customHeight="1" thickTop="1" thickBot="1">
      <c r="A18" s="761"/>
      <c r="B18" s="759"/>
      <c r="C18" s="759"/>
      <c r="D18" s="763"/>
      <c r="E18" s="613" t="s">
        <v>8</v>
      </c>
      <c r="F18" s="614" t="s">
        <v>10</v>
      </c>
      <c r="G18" s="614" t="s">
        <v>12</v>
      </c>
      <c r="H18" s="614" t="s">
        <v>14</v>
      </c>
      <c r="I18" s="614" t="s">
        <v>17</v>
      </c>
      <c r="J18" s="614" t="s">
        <v>20</v>
      </c>
      <c r="K18" s="614" t="s">
        <v>22</v>
      </c>
      <c r="L18" s="614" t="s">
        <v>24</v>
      </c>
      <c r="M18" s="614" t="s">
        <v>26</v>
      </c>
      <c r="N18" s="614" t="s">
        <v>28</v>
      </c>
      <c r="O18" s="614" t="s">
        <v>1326</v>
      </c>
      <c r="P18" s="615" t="s">
        <v>1327</v>
      </c>
    </row>
    <row r="19" spans="1:19" ht="15.75" thickTop="1">
      <c r="A19" s="639"/>
      <c r="B19" s="640"/>
      <c r="C19" s="755">
        <f>'Sintético Desonerado'!H21*P16</f>
        <v>737249.72130814416</v>
      </c>
      <c r="D19" s="764">
        <f>C19/$C$55</f>
        <v>0.13640294130076741</v>
      </c>
      <c r="E19" s="650">
        <v>0.4</v>
      </c>
      <c r="F19" s="650">
        <v>0.3</v>
      </c>
      <c r="G19" s="650">
        <v>0.15</v>
      </c>
      <c r="H19" s="650">
        <v>0.05</v>
      </c>
      <c r="I19" s="650">
        <v>0.05</v>
      </c>
      <c r="J19" s="650">
        <v>0.05</v>
      </c>
      <c r="K19" s="650"/>
      <c r="L19" s="650"/>
      <c r="M19" s="650"/>
      <c r="N19" s="650"/>
      <c r="O19" s="650"/>
      <c r="P19" s="650"/>
      <c r="R19" s="657">
        <f>SUM(E19:P19)</f>
        <v>1</v>
      </c>
      <c r="S19" s="20"/>
    </row>
    <row r="20" spans="1:19" ht="15.75">
      <c r="A20" s="641" t="s">
        <v>39</v>
      </c>
      <c r="B20" s="642" t="str">
        <f>VLOOKUP(A20,'Sintético Desonerado'!$A$21:$H$1539,5,0)</f>
        <v>SERVIÇOS PRELIMINARES</v>
      </c>
      <c r="C20" s="756"/>
      <c r="D20" s="756"/>
      <c r="E20" s="656" t="str">
        <f t="shared" ref="E20:P20" si="0">IF(E19&lt;&gt;0,"I","")</f>
        <v>I</v>
      </c>
      <c r="F20" s="656" t="str">
        <f t="shared" si="0"/>
        <v>I</v>
      </c>
      <c r="G20" s="656" t="str">
        <f t="shared" si="0"/>
        <v>I</v>
      </c>
      <c r="H20" s="656" t="str">
        <f t="shared" si="0"/>
        <v>I</v>
      </c>
      <c r="I20" s="656" t="str">
        <f t="shared" si="0"/>
        <v>I</v>
      </c>
      <c r="J20" s="656" t="str">
        <f t="shared" si="0"/>
        <v>I</v>
      </c>
      <c r="K20" s="651" t="str">
        <f t="shared" si="0"/>
        <v/>
      </c>
      <c r="L20" s="651" t="str">
        <f t="shared" si="0"/>
        <v/>
      </c>
      <c r="M20" s="651" t="str">
        <f t="shared" si="0"/>
        <v/>
      </c>
      <c r="N20" s="651" t="str">
        <f t="shared" si="0"/>
        <v/>
      </c>
      <c r="O20" s="651" t="str">
        <f t="shared" si="0"/>
        <v/>
      </c>
      <c r="P20" s="651" t="str">
        <f t="shared" si="0"/>
        <v/>
      </c>
      <c r="R20" s="657"/>
      <c r="S20" s="20"/>
    </row>
    <row r="21" spans="1:19" ht="16.5" thickBot="1">
      <c r="A21" s="643"/>
      <c r="B21" s="644"/>
      <c r="C21" s="757"/>
      <c r="D21" s="757"/>
      <c r="E21" s="652">
        <f t="shared" ref="E21:P21" si="1">ROUND(E19*$C19,4)</f>
        <v>294899.8885</v>
      </c>
      <c r="F21" s="652">
        <f t="shared" si="1"/>
        <v>221174.91639999999</v>
      </c>
      <c r="G21" s="652">
        <f t="shared" si="1"/>
        <v>110587.45819999999</v>
      </c>
      <c r="H21" s="652">
        <f t="shared" si="1"/>
        <v>36862.486100000002</v>
      </c>
      <c r="I21" s="652">
        <f t="shared" si="1"/>
        <v>36862.486100000002</v>
      </c>
      <c r="J21" s="652">
        <f t="shared" si="1"/>
        <v>36862.486100000002</v>
      </c>
      <c r="K21" s="652">
        <f t="shared" si="1"/>
        <v>0</v>
      </c>
      <c r="L21" s="652">
        <f t="shared" si="1"/>
        <v>0</v>
      </c>
      <c r="M21" s="652">
        <f t="shared" si="1"/>
        <v>0</v>
      </c>
      <c r="N21" s="652">
        <f t="shared" si="1"/>
        <v>0</v>
      </c>
      <c r="O21" s="652">
        <f t="shared" si="1"/>
        <v>0</v>
      </c>
      <c r="P21" s="652">
        <f t="shared" si="1"/>
        <v>0</v>
      </c>
      <c r="R21" s="658">
        <f>SUM(E21:P21)</f>
        <v>737249.72139999992</v>
      </c>
      <c r="S21" s="20"/>
    </row>
    <row r="22" spans="1:19" ht="16.5" thickTop="1">
      <c r="A22" s="645"/>
      <c r="B22" s="646"/>
      <c r="C22" s="755">
        <f>'Sintético Desonerado'!H119*P16</f>
        <v>1683881.0852598872</v>
      </c>
      <c r="D22" s="764">
        <f>C22/$C$55</f>
        <v>0.31154482150584117</v>
      </c>
      <c r="E22" s="650"/>
      <c r="F22" s="650"/>
      <c r="G22" s="650"/>
      <c r="H22" s="650">
        <v>0.1</v>
      </c>
      <c r="I22" s="650">
        <v>0.1</v>
      </c>
      <c r="J22" s="650">
        <v>0.15</v>
      </c>
      <c r="K22" s="650">
        <v>0.15</v>
      </c>
      <c r="L22" s="650">
        <v>0.15</v>
      </c>
      <c r="M22" s="650">
        <v>0.1</v>
      </c>
      <c r="N22" s="650">
        <v>0.1</v>
      </c>
      <c r="O22" s="650">
        <v>0.1</v>
      </c>
      <c r="P22" s="650">
        <v>0.05</v>
      </c>
      <c r="R22" s="657">
        <f>SUM(E22:P22)</f>
        <v>1</v>
      </c>
      <c r="S22" s="20"/>
    </row>
    <row r="23" spans="1:19" ht="15.75">
      <c r="A23" s="641" t="s">
        <v>140</v>
      </c>
      <c r="B23" s="642" t="str">
        <f>VLOOKUP(A23,'Sintético Desonerado'!$A$21:$H$1539,5,0)</f>
        <v>FUNDAÇÕES E ESTRUTURAS</v>
      </c>
      <c r="C23" s="756"/>
      <c r="D23" s="756"/>
      <c r="E23" s="651" t="str">
        <f t="shared" ref="E23:P23" si="2">IF(E22&lt;&gt;0,"I","")</f>
        <v/>
      </c>
      <c r="F23" s="651" t="str">
        <f t="shared" si="2"/>
        <v/>
      </c>
      <c r="G23" s="651" t="str">
        <f t="shared" si="2"/>
        <v/>
      </c>
      <c r="H23" s="656" t="str">
        <f t="shared" si="2"/>
        <v>I</v>
      </c>
      <c r="I23" s="656" t="str">
        <f t="shared" si="2"/>
        <v>I</v>
      </c>
      <c r="J23" s="656" t="str">
        <f t="shared" si="2"/>
        <v>I</v>
      </c>
      <c r="K23" s="656" t="str">
        <f t="shared" si="2"/>
        <v>I</v>
      </c>
      <c r="L23" s="656" t="str">
        <f t="shared" si="2"/>
        <v>I</v>
      </c>
      <c r="M23" s="656" t="str">
        <f t="shared" si="2"/>
        <v>I</v>
      </c>
      <c r="N23" s="656" t="str">
        <f t="shared" si="2"/>
        <v>I</v>
      </c>
      <c r="O23" s="656" t="str">
        <f t="shared" si="2"/>
        <v>I</v>
      </c>
      <c r="P23" s="656" t="str">
        <f t="shared" si="2"/>
        <v>I</v>
      </c>
      <c r="R23" s="657"/>
      <c r="S23" s="20"/>
    </row>
    <row r="24" spans="1:19" ht="16.5" thickBot="1">
      <c r="A24" s="643"/>
      <c r="B24" s="644"/>
      <c r="C24" s="757"/>
      <c r="D24" s="757"/>
      <c r="E24" s="652">
        <f t="shared" ref="E24:G24" si="3">ROUND(E22*$C24,4)</f>
        <v>0</v>
      </c>
      <c r="F24" s="652">
        <f t="shared" si="3"/>
        <v>0</v>
      </c>
      <c r="G24" s="652">
        <f t="shared" si="3"/>
        <v>0</v>
      </c>
      <c r="H24" s="652">
        <f t="shared" ref="H24:P24" si="4">ROUND(H22*$C22,4)</f>
        <v>168388.1085</v>
      </c>
      <c r="I24" s="652">
        <f t="shared" si="4"/>
        <v>168388.1085</v>
      </c>
      <c r="J24" s="652">
        <f t="shared" si="4"/>
        <v>252582.16279999999</v>
      </c>
      <c r="K24" s="652">
        <f t="shared" si="4"/>
        <v>252582.16279999999</v>
      </c>
      <c r="L24" s="652">
        <f t="shared" si="4"/>
        <v>252582.16279999999</v>
      </c>
      <c r="M24" s="652">
        <f t="shared" si="4"/>
        <v>168388.1085</v>
      </c>
      <c r="N24" s="652">
        <f t="shared" si="4"/>
        <v>168388.1085</v>
      </c>
      <c r="O24" s="652">
        <f t="shared" si="4"/>
        <v>168388.1085</v>
      </c>
      <c r="P24" s="652">
        <f t="shared" si="4"/>
        <v>84194.054300000003</v>
      </c>
      <c r="R24" s="658">
        <f>SUM(E24:P24)</f>
        <v>1683881.0852000003</v>
      </c>
      <c r="S24" s="20"/>
    </row>
    <row r="25" spans="1:19" ht="16.5" thickTop="1">
      <c r="A25" s="645"/>
      <c r="B25" s="646"/>
      <c r="C25" s="755">
        <f>'Sintético Desonerado'!H389*P16</f>
        <v>1579373.8538587871</v>
      </c>
      <c r="D25" s="764">
        <f>C25/$C$55</f>
        <v>0.29220931911322401</v>
      </c>
      <c r="E25" s="650"/>
      <c r="F25" s="650"/>
      <c r="G25" s="650"/>
      <c r="H25" s="650">
        <v>0.1</v>
      </c>
      <c r="I25" s="650">
        <v>0.1</v>
      </c>
      <c r="J25" s="650">
        <v>0.1</v>
      </c>
      <c r="K25" s="650">
        <v>0.1</v>
      </c>
      <c r="L25" s="650">
        <v>0.1</v>
      </c>
      <c r="M25" s="650">
        <v>0.15</v>
      </c>
      <c r="N25" s="650">
        <v>0.15</v>
      </c>
      <c r="O25" s="650">
        <v>0.1</v>
      </c>
      <c r="P25" s="650">
        <v>0.1</v>
      </c>
      <c r="R25" s="657">
        <f>SUM(E25:P25)</f>
        <v>1</v>
      </c>
      <c r="S25" s="20"/>
    </row>
    <row r="26" spans="1:19" ht="15.75">
      <c r="A26" s="641" t="s">
        <v>273</v>
      </c>
      <c r="B26" s="642" t="str">
        <f>VLOOKUP(A26,'Sintético Desonerado'!$A$21:$H$1539,5,0)</f>
        <v>ARQUITETURA E ELEMENTOS DE URBANISMO</v>
      </c>
      <c r="C26" s="756"/>
      <c r="D26" s="756"/>
      <c r="E26" s="651" t="str">
        <f t="shared" ref="E26:P26" si="5">IF(E25&lt;&gt;0,"I","")</f>
        <v/>
      </c>
      <c r="F26" s="651" t="str">
        <f t="shared" si="5"/>
        <v/>
      </c>
      <c r="G26" s="651" t="str">
        <f t="shared" si="5"/>
        <v/>
      </c>
      <c r="H26" s="656" t="str">
        <f t="shared" si="5"/>
        <v>I</v>
      </c>
      <c r="I26" s="656" t="str">
        <f t="shared" si="5"/>
        <v>I</v>
      </c>
      <c r="J26" s="656" t="str">
        <f t="shared" si="5"/>
        <v>I</v>
      </c>
      <c r="K26" s="656" t="str">
        <f t="shared" si="5"/>
        <v>I</v>
      </c>
      <c r="L26" s="656" t="str">
        <f t="shared" si="5"/>
        <v>I</v>
      </c>
      <c r="M26" s="656" t="str">
        <f t="shared" si="5"/>
        <v>I</v>
      </c>
      <c r="N26" s="656" t="str">
        <f t="shared" si="5"/>
        <v>I</v>
      </c>
      <c r="O26" s="656" t="str">
        <f t="shared" si="5"/>
        <v>I</v>
      </c>
      <c r="P26" s="656" t="str">
        <f t="shared" si="5"/>
        <v>I</v>
      </c>
      <c r="R26" s="657"/>
      <c r="S26" s="20"/>
    </row>
    <row r="27" spans="1:19" ht="16.5" thickBot="1">
      <c r="A27" s="643"/>
      <c r="B27" s="644"/>
      <c r="C27" s="757"/>
      <c r="D27" s="757"/>
      <c r="E27" s="652">
        <f t="shared" ref="E27:G27" si="6">ROUND(E25*$C27,4)</f>
        <v>0</v>
      </c>
      <c r="F27" s="652">
        <f t="shared" si="6"/>
        <v>0</v>
      </c>
      <c r="G27" s="652">
        <f t="shared" si="6"/>
        <v>0</v>
      </c>
      <c r="H27" s="652">
        <f t="shared" ref="H27:P27" si="7">ROUND(H25*$C25,4)</f>
        <v>157937.3854</v>
      </c>
      <c r="I27" s="652">
        <f t="shared" si="7"/>
        <v>157937.3854</v>
      </c>
      <c r="J27" s="652">
        <f t="shared" si="7"/>
        <v>157937.3854</v>
      </c>
      <c r="K27" s="652">
        <f t="shared" si="7"/>
        <v>157937.3854</v>
      </c>
      <c r="L27" s="652">
        <f t="shared" si="7"/>
        <v>157937.3854</v>
      </c>
      <c r="M27" s="652">
        <f t="shared" si="7"/>
        <v>236906.07810000001</v>
      </c>
      <c r="N27" s="652">
        <f t="shared" si="7"/>
        <v>236906.07810000001</v>
      </c>
      <c r="O27" s="652">
        <f t="shared" si="7"/>
        <v>157937.3854</v>
      </c>
      <c r="P27" s="652">
        <f t="shared" si="7"/>
        <v>157937.3854</v>
      </c>
      <c r="R27" s="658">
        <f>SUM(E27:P27)</f>
        <v>1579373.8540000001</v>
      </c>
      <c r="S27" s="20"/>
    </row>
    <row r="28" spans="1:19" ht="16.5" thickTop="1">
      <c r="A28" s="645"/>
      <c r="B28" s="646"/>
      <c r="C28" s="755">
        <f>'Sintético Desonerado'!H679*P16</f>
        <v>232360.78101237779</v>
      </c>
      <c r="D28" s="764">
        <f>C28/$C$55</f>
        <v>4.2990445512538326E-2</v>
      </c>
      <c r="E28" s="650"/>
      <c r="F28" s="650"/>
      <c r="G28" s="650"/>
      <c r="H28" s="650">
        <v>0.1</v>
      </c>
      <c r="I28" s="650">
        <v>0.1</v>
      </c>
      <c r="J28" s="650">
        <v>0.1</v>
      </c>
      <c r="K28" s="650">
        <v>0.1</v>
      </c>
      <c r="L28" s="650">
        <v>0.1</v>
      </c>
      <c r="M28" s="650">
        <v>0.15</v>
      </c>
      <c r="N28" s="650">
        <v>0.15</v>
      </c>
      <c r="O28" s="650">
        <v>0.1</v>
      </c>
      <c r="P28" s="650">
        <v>0.1</v>
      </c>
      <c r="R28" s="657">
        <f>SUM(E28:P28)</f>
        <v>1</v>
      </c>
      <c r="S28" s="20"/>
    </row>
    <row r="29" spans="1:19" ht="15.75">
      <c r="A29" s="641" t="s">
        <v>520</v>
      </c>
      <c r="B29" s="642" t="str">
        <f>VLOOKUP(A29,'Sintético Desonerado'!$A$21:$H$1539,5,0)</f>
        <v>INSTALAÇÕES HIDRÁULICAS, SANITÁRIAS E CENTRAL GLP</v>
      </c>
      <c r="C29" s="756"/>
      <c r="D29" s="756"/>
      <c r="E29" s="651" t="str">
        <f>IF(E28&lt;&gt;0,"I","")</f>
        <v/>
      </c>
      <c r="F29" s="651" t="str">
        <f>IF(F28&lt;&gt;0,"I","")</f>
        <v/>
      </c>
      <c r="G29" s="651" t="str">
        <f>IF(G28&lt;&gt;0,"I","")</f>
        <v/>
      </c>
      <c r="H29" s="656" t="str">
        <f t="shared" ref="H29:P29" si="8">IF(H28&lt;&gt;0,"I","")</f>
        <v>I</v>
      </c>
      <c r="I29" s="656" t="str">
        <f t="shared" si="8"/>
        <v>I</v>
      </c>
      <c r="J29" s="656" t="str">
        <f t="shared" si="8"/>
        <v>I</v>
      </c>
      <c r="K29" s="656" t="str">
        <f t="shared" si="8"/>
        <v>I</v>
      </c>
      <c r="L29" s="656" t="str">
        <f t="shared" si="8"/>
        <v>I</v>
      </c>
      <c r="M29" s="656" t="str">
        <f t="shared" si="8"/>
        <v>I</v>
      </c>
      <c r="N29" s="656" t="str">
        <f t="shared" si="8"/>
        <v>I</v>
      </c>
      <c r="O29" s="656" t="str">
        <f t="shared" si="8"/>
        <v>I</v>
      </c>
      <c r="P29" s="656" t="str">
        <f t="shared" si="8"/>
        <v>I</v>
      </c>
      <c r="R29" s="657"/>
      <c r="S29" s="20"/>
    </row>
    <row r="30" spans="1:19" ht="16.5" thickBot="1">
      <c r="A30" s="643"/>
      <c r="B30" s="644"/>
      <c r="C30" s="757"/>
      <c r="D30" s="757"/>
      <c r="E30" s="652">
        <f t="shared" ref="E30:G30" si="9">ROUND(E28*$C30,4)</f>
        <v>0</v>
      </c>
      <c r="F30" s="652">
        <f t="shared" si="9"/>
        <v>0</v>
      </c>
      <c r="G30" s="652">
        <f t="shared" si="9"/>
        <v>0</v>
      </c>
      <c r="H30" s="652">
        <f t="shared" ref="H30:P30" si="10">ROUND(H28*$C28,4)</f>
        <v>23236.078099999999</v>
      </c>
      <c r="I30" s="652">
        <f t="shared" si="10"/>
        <v>23236.078099999999</v>
      </c>
      <c r="J30" s="652">
        <f t="shared" si="10"/>
        <v>23236.078099999999</v>
      </c>
      <c r="K30" s="652">
        <f t="shared" si="10"/>
        <v>23236.078099999999</v>
      </c>
      <c r="L30" s="652">
        <f t="shared" si="10"/>
        <v>23236.078099999999</v>
      </c>
      <c r="M30" s="652">
        <f t="shared" si="10"/>
        <v>34854.117200000001</v>
      </c>
      <c r="N30" s="652">
        <f t="shared" si="10"/>
        <v>34854.117200000001</v>
      </c>
      <c r="O30" s="652">
        <f t="shared" si="10"/>
        <v>23236.078099999999</v>
      </c>
      <c r="P30" s="652">
        <f t="shared" si="10"/>
        <v>23236.078099999999</v>
      </c>
      <c r="R30" s="658">
        <f>SUM(E30:P30)</f>
        <v>232360.78109999996</v>
      </c>
      <c r="S30" s="20"/>
    </row>
    <row r="31" spans="1:19" ht="16.5" thickTop="1">
      <c r="A31" s="645"/>
      <c r="B31" s="646"/>
      <c r="C31" s="755">
        <f>'Sintético Desonerado'!H1080*P16</f>
        <v>420449.10245231492</v>
      </c>
      <c r="D31" s="764">
        <f>C31/$C$55</f>
        <v>7.7789780835729863E-2</v>
      </c>
      <c r="E31" s="650"/>
      <c r="F31" s="650"/>
      <c r="G31" s="650"/>
      <c r="H31" s="650">
        <v>0.1</v>
      </c>
      <c r="I31" s="650">
        <v>0.1</v>
      </c>
      <c r="J31" s="650">
        <v>0.1</v>
      </c>
      <c r="K31" s="650">
        <v>0.1</v>
      </c>
      <c r="L31" s="650">
        <v>0.1</v>
      </c>
      <c r="M31" s="650">
        <v>0.15</v>
      </c>
      <c r="N31" s="650">
        <v>0.15</v>
      </c>
      <c r="O31" s="650">
        <v>0.1</v>
      </c>
      <c r="P31" s="650">
        <v>0.1</v>
      </c>
      <c r="R31" s="657">
        <f>SUM(E31:P31)</f>
        <v>1</v>
      </c>
      <c r="S31" s="20"/>
    </row>
    <row r="32" spans="1:19" ht="15.75">
      <c r="A32" s="641" t="s">
        <v>873</v>
      </c>
      <c r="B32" s="642" t="str">
        <f>VLOOKUP(A32,'Sintético Desonerado'!$A$21:$H$1539,5,0)</f>
        <v>INSTALAÇÕES ELÉTRICAS E ELETRÔNICAS</v>
      </c>
      <c r="C32" s="756"/>
      <c r="D32" s="756"/>
      <c r="E32" s="651" t="str">
        <f t="shared" ref="E32:P32" si="11">IF(E31&lt;&gt;0,"I","")</f>
        <v/>
      </c>
      <c r="F32" s="651" t="str">
        <f t="shared" si="11"/>
        <v/>
      </c>
      <c r="G32" s="651" t="str">
        <f t="shared" si="11"/>
        <v/>
      </c>
      <c r="H32" s="656" t="str">
        <f t="shared" si="11"/>
        <v>I</v>
      </c>
      <c r="I32" s="656" t="str">
        <f t="shared" si="11"/>
        <v>I</v>
      </c>
      <c r="J32" s="656" t="str">
        <f t="shared" si="11"/>
        <v>I</v>
      </c>
      <c r="K32" s="656" t="str">
        <f t="shared" si="11"/>
        <v>I</v>
      </c>
      <c r="L32" s="656" t="str">
        <f t="shared" si="11"/>
        <v>I</v>
      </c>
      <c r="M32" s="656" t="str">
        <f t="shared" si="11"/>
        <v>I</v>
      </c>
      <c r="N32" s="656" t="str">
        <f t="shared" si="11"/>
        <v>I</v>
      </c>
      <c r="O32" s="656" t="str">
        <f t="shared" si="11"/>
        <v>I</v>
      </c>
      <c r="P32" s="656" t="str">
        <f t="shared" si="11"/>
        <v>I</v>
      </c>
      <c r="R32" s="657"/>
      <c r="S32" s="20"/>
    </row>
    <row r="33" spans="1:20" ht="16.5" thickBot="1">
      <c r="A33" s="643"/>
      <c r="B33" s="644"/>
      <c r="C33" s="757"/>
      <c r="D33" s="757"/>
      <c r="E33" s="652">
        <f t="shared" ref="E33:G33" si="12">ROUND(E31*$C33,4)</f>
        <v>0</v>
      </c>
      <c r="F33" s="652">
        <f t="shared" si="12"/>
        <v>0</v>
      </c>
      <c r="G33" s="652">
        <f t="shared" si="12"/>
        <v>0</v>
      </c>
      <c r="H33" s="652">
        <f t="shared" ref="H33:P33" si="13">ROUND(H31*$C31,4)</f>
        <v>42044.910199999998</v>
      </c>
      <c r="I33" s="652">
        <f t="shared" si="13"/>
        <v>42044.910199999998</v>
      </c>
      <c r="J33" s="652">
        <f t="shared" si="13"/>
        <v>42044.910199999998</v>
      </c>
      <c r="K33" s="652">
        <f t="shared" si="13"/>
        <v>42044.910199999998</v>
      </c>
      <c r="L33" s="652">
        <f t="shared" si="13"/>
        <v>42044.910199999998</v>
      </c>
      <c r="M33" s="652">
        <f t="shared" si="13"/>
        <v>63067.365400000002</v>
      </c>
      <c r="N33" s="652">
        <f t="shared" si="13"/>
        <v>63067.365400000002</v>
      </c>
      <c r="O33" s="652">
        <f t="shared" si="13"/>
        <v>42044.910199999998</v>
      </c>
      <c r="P33" s="652">
        <f t="shared" si="13"/>
        <v>42044.910199999998</v>
      </c>
      <c r="R33" s="658">
        <f>SUM(E33:P33)</f>
        <v>420449.10219999996</v>
      </c>
      <c r="S33" s="20"/>
    </row>
    <row r="34" spans="1:20" ht="16.5" thickTop="1">
      <c r="A34" s="645"/>
      <c r="B34" s="646"/>
      <c r="C34" s="755">
        <f>'Sintético Desonerado'!H1401*P16</f>
        <v>79555.160621097108</v>
      </c>
      <c r="D34" s="764">
        <f>C34/$C$55</f>
        <v>1.471897186358795E-2</v>
      </c>
      <c r="E34" s="650"/>
      <c r="F34" s="650"/>
      <c r="G34" s="650"/>
      <c r="H34" s="650"/>
      <c r="I34" s="650">
        <v>0.25</v>
      </c>
      <c r="J34" s="650">
        <v>0.15</v>
      </c>
      <c r="K34" s="650">
        <v>0.2</v>
      </c>
      <c r="L34" s="650">
        <v>0.2</v>
      </c>
      <c r="M34" s="650">
        <v>0.2</v>
      </c>
      <c r="N34" s="650"/>
      <c r="O34" s="650"/>
      <c r="P34" s="650"/>
      <c r="R34" s="657">
        <f>SUM(E34:P34)</f>
        <v>1</v>
      </c>
      <c r="S34" s="20"/>
    </row>
    <row r="35" spans="1:20" ht="15.75">
      <c r="A35" s="641" t="s">
        <v>1143</v>
      </c>
      <c r="B35" s="642" t="str">
        <f>VLOOKUP(A35,'Sintético Desonerado'!$A$21:$H$1539,5,0)</f>
        <v>INSTALAÇÕES MECÂNICAS E DE UTILIDADES</v>
      </c>
      <c r="C35" s="756"/>
      <c r="D35" s="756"/>
      <c r="E35" s="651" t="str">
        <f t="shared" ref="E35:P35" si="14">IF(E34&lt;&gt;0,"I","")</f>
        <v/>
      </c>
      <c r="F35" s="651" t="str">
        <f t="shared" si="14"/>
        <v/>
      </c>
      <c r="G35" s="651" t="str">
        <f t="shared" si="14"/>
        <v/>
      </c>
      <c r="H35" s="651" t="str">
        <f t="shared" si="14"/>
        <v/>
      </c>
      <c r="I35" s="656" t="str">
        <f t="shared" si="14"/>
        <v>I</v>
      </c>
      <c r="J35" s="656" t="str">
        <f t="shared" si="14"/>
        <v>I</v>
      </c>
      <c r="K35" s="656" t="str">
        <f t="shared" si="14"/>
        <v>I</v>
      </c>
      <c r="L35" s="656" t="str">
        <f t="shared" si="14"/>
        <v>I</v>
      </c>
      <c r="M35" s="656" t="str">
        <f t="shared" si="14"/>
        <v>I</v>
      </c>
      <c r="N35" s="651" t="str">
        <f t="shared" si="14"/>
        <v/>
      </c>
      <c r="O35" s="651" t="str">
        <f t="shared" si="14"/>
        <v/>
      </c>
      <c r="P35" s="651" t="str">
        <f t="shared" si="14"/>
        <v/>
      </c>
      <c r="R35" s="657"/>
      <c r="S35" s="20"/>
    </row>
    <row r="36" spans="1:20" ht="16.5" thickBot="1">
      <c r="A36" s="643"/>
      <c r="B36" s="644"/>
      <c r="C36" s="757"/>
      <c r="D36" s="757"/>
      <c r="E36" s="652">
        <f t="shared" ref="E36:P36" si="15">ROUND(E34*$C36,4)</f>
        <v>0</v>
      </c>
      <c r="F36" s="652">
        <f t="shared" si="15"/>
        <v>0</v>
      </c>
      <c r="G36" s="652">
        <f t="shared" si="15"/>
        <v>0</v>
      </c>
      <c r="H36" s="652">
        <f t="shared" si="15"/>
        <v>0</v>
      </c>
      <c r="I36" s="652">
        <f>ROUND(I34*$C34,4)</f>
        <v>19888.790199999999</v>
      </c>
      <c r="J36" s="652">
        <f>ROUND(J34*$C34,4)</f>
        <v>11933.274100000001</v>
      </c>
      <c r="K36" s="652">
        <f>ROUND(K34*$C34,4)</f>
        <v>15911.0321</v>
      </c>
      <c r="L36" s="652">
        <f>ROUND(L34*$C34,4)</f>
        <v>15911.0321</v>
      </c>
      <c r="M36" s="652">
        <f>ROUND(M34*$C34,4)</f>
        <v>15911.0321</v>
      </c>
      <c r="N36" s="652">
        <f t="shared" si="15"/>
        <v>0</v>
      </c>
      <c r="O36" s="652">
        <f t="shared" si="15"/>
        <v>0</v>
      </c>
      <c r="P36" s="652">
        <f t="shared" si="15"/>
        <v>0</v>
      </c>
      <c r="R36" s="658">
        <f>SUM(E36:P36)</f>
        <v>79555.160599999988</v>
      </c>
      <c r="S36" s="20"/>
    </row>
    <row r="37" spans="1:20" ht="16.5" thickTop="1">
      <c r="A37" s="645"/>
      <c r="B37" s="646"/>
      <c r="C37" s="755">
        <f>'Sintético Desonerado'!H1414*P16</f>
        <v>26624.031496543557</v>
      </c>
      <c r="D37" s="764">
        <f>C37/$C$55</f>
        <v>4.9258698924552532E-3</v>
      </c>
      <c r="E37" s="650"/>
      <c r="F37" s="650"/>
      <c r="G37" s="650"/>
      <c r="H37" s="650"/>
      <c r="I37" s="650">
        <v>0.25</v>
      </c>
      <c r="J37" s="650">
        <v>0.15</v>
      </c>
      <c r="K37" s="650">
        <v>0.2</v>
      </c>
      <c r="L37" s="650">
        <v>0.2</v>
      </c>
      <c r="M37" s="650">
        <v>0.2</v>
      </c>
      <c r="N37" s="650"/>
      <c r="O37" s="650"/>
      <c r="P37" s="650"/>
      <c r="R37" s="657">
        <f>SUM(E37:P37)</f>
        <v>1</v>
      </c>
      <c r="S37" s="20"/>
    </row>
    <row r="38" spans="1:20" ht="15.75">
      <c r="A38" s="641" t="s">
        <v>1159</v>
      </c>
      <c r="B38" s="642" t="str">
        <f>VLOOKUP(A38,'Sintético Desonerado'!$A$21:$H$1539,5,0)</f>
        <v>INSTALAÇÕES DE PREVENÇÃO E COMBATE A INCÊNDIO</v>
      </c>
      <c r="C38" s="756"/>
      <c r="D38" s="756"/>
      <c r="E38" s="651" t="str">
        <f t="shared" ref="E38:P38" si="16">IF(E37&lt;&gt;0,"I","")</f>
        <v/>
      </c>
      <c r="F38" s="651" t="str">
        <f t="shared" si="16"/>
        <v/>
      </c>
      <c r="G38" s="651" t="str">
        <f t="shared" si="16"/>
        <v/>
      </c>
      <c r="H38" s="651" t="str">
        <f t="shared" si="16"/>
        <v/>
      </c>
      <c r="I38" s="656" t="str">
        <f t="shared" si="16"/>
        <v>I</v>
      </c>
      <c r="J38" s="656" t="str">
        <f t="shared" si="16"/>
        <v>I</v>
      </c>
      <c r="K38" s="656" t="str">
        <f t="shared" si="16"/>
        <v>I</v>
      </c>
      <c r="L38" s="656" t="str">
        <f t="shared" si="16"/>
        <v>I</v>
      </c>
      <c r="M38" s="656" t="str">
        <f t="shared" si="16"/>
        <v>I</v>
      </c>
      <c r="N38" s="651" t="str">
        <f t="shared" si="16"/>
        <v/>
      </c>
      <c r="O38" s="651" t="str">
        <f t="shared" si="16"/>
        <v/>
      </c>
      <c r="P38" s="651" t="str">
        <f t="shared" si="16"/>
        <v/>
      </c>
      <c r="R38" s="657"/>
      <c r="S38" s="20"/>
    </row>
    <row r="39" spans="1:20" ht="16.5" thickBot="1">
      <c r="A39" s="643"/>
      <c r="B39" s="644"/>
      <c r="C39" s="757"/>
      <c r="D39" s="757"/>
      <c r="E39" s="652">
        <f t="shared" ref="E39:P39" si="17">ROUND(E37*$C39,4)</f>
        <v>0</v>
      </c>
      <c r="F39" s="652">
        <f t="shared" si="17"/>
        <v>0</v>
      </c>
      <c r="G39" s="652">
        <f t="shared" si="17"/>
        <v>0</v>
      </c>
      <c r="H39" s="652">
        <f t="shared" si="17"/>
        <v>0</v>
      </c>
      <c r="I39" s="652">
        <f>ROUND(I37*$C37,4)</f>
        <v>6656.0078999999996</v>
      </c>
      <c r="J39" s="652">
        <f>ROUND(J37*$C37,4)</f>
        <v>3993.6046999999999</v>
      </c>
      <c r="K39" s="652">
        <f>ROUND(K37*$C37,4)</f>
        <v>5324.8063000000002</v>
      </c>
      <c r="L39" s="652">
        <f>ROUND(L37*$C37,4)</f>
        <v>5324.8063000000002</v>
      </c>
      <c r="M39" s="652">
        <f>ROUND(M37*$C37,4)</f>
        <v>5324.8063000000002</v>
      </c>
      <c r="N39" s="652">
        <f t="shared" si="17"/>
        <v>0</v>
      </c>
      <c r="O39" s="652">
        <f t="shared" si="17"/>
        <v>0</v>
      </c>
      <c r="P39" s="652">
        <f t="shared" si="17"/>
        <v>0</v>
      </c>
      <c r="R39" s="658">
        <f>SUM(E39:P39)</f>
        <v>26624.031500000001</v>
      </c>
      <c r="S39" s="20"/>
    </row>
    <row r="40" spans="1:20" ht="16.5" thickTop="1">
      <c r="A40" s="645"/>
      <c r="B40" s="646"/>
      <c r="C40" s="755">
        <f>'Sintético Desonerado'!H1472*P16</f>
        <v>74334.494205668132</v>
      </c>
      <c r="D40" s="764">
        <f>C40/$C$55</f>
        <v>1.375306542234698E-2</v>
      </c>
      <c r="E40" s="650"/>
      <c r="F40" s="650"/>
      <c r="G40" s="650">
        <v>0.2</v>
      </c>
      <c r="H40" s="650"/>
      <c r="I40" s="650">
        <v>0.1</v>
      </c>
      <c r="J40" s="650">
        <v>0.1</v>
      </c>
      <c r="K40" s="650">
        <v>0.2</v>
      </c>
      <c r="L40" s="650">
        <v>0.2</v>
      </c>
      <c r="M40" s="650">
        <v>0.2</v>
      </c>
      <c r="N40" s="650"/>
      <c r="O40" s="650"/>
      <c r="P40" s="650"/>
      <c r="R40" s="657">
        <f>SUM(E40:P40)</f>
        <v>1</v>
      </c>
      <c r="S40" s="20"/>
    </row>
    <row r="41" spans="1:20" ht="15.75">
      <c r="A41" s="641" t="s">
        <v>1231</v>
      </c>
      <c r="B41" s="642" t="str">
        <f>VLOOKUP(A41,'Sintético Desonerado'!$A$21:$H$1539,5,0)</f>
        <v>IMPERMEABILIZAÇÕES</v>
      </c>
      <c r="C41" s="756"/>
      <c r="D41" s="756"/>
      <c r="E41" s="651" t="str">
        <f t="shared" ref="E41:P41" si="18">IF(E40&lt;&gt;0,"I","")</f>
        <v/>
      </c>
      <c r="F41" s="651" t="str">
        <f t="shared" si="18"/>
        <v/>
      </c>
      <c r="G41" s="656" t="str">
        <f t="shared" si="18"/>
        <v>I</v>
      </c>
      <c r="H41" s="651" t="str">
        <f t="shared" si="18"/>
        <v/>
      </c>
      <c r="I41" s="656" t="str">
        <f t="shared" si="18"/>
        <v>I</v>
      </c>
      <c r="J41" s="656" t="str">
        <f t="shared" si="18"/>
        <v>I</v>
      </c>
      <c r="K41" s="656" t="str">
        <f t="shared" si="18"/>
        <v>I</v>
      </c>
      <c r="L41" s="656" t="str">
        <f t="shared" si="18"/>
        <v>I</v>
      </c>
      <c r="M41" s="656" t="str">
        <f t="shared" si="18"/>
        <v>I</v>
      </c>
      <c r="N41" s="651" t="str">
        <f t="shared" si="18"/>
        <v/>
      </c>
      <c r="O41" s="651" t="str">
        <f t="shared" si="18"/>
        <v/>
      </c>
      <c r="P41" s="651" t="str">
        <f t="shared" si="18"/>
        <v/>
      </c>
      <c r="R41" s="657"/>
      <c r="S41" s="20"/>
    </row>
    <row r="42" spans="1:20" ht="16.5" thickBot="1">
      <c r="A42" s="643"/>
      <c r="B42" s="644"/>
      <c r="C42" s="757"/>
      <c r="D42" s="757"/>
      <c r="E42" s="652">
        <f t="shared" ref="E42:P42" si="19">ROUND(E40*$C42,4)</f>
        <v>0</v>
      </c>
      <c r="F42" s="652">
        <f t="shared" si="19"/>
        <v>0</v>
      </c>
      <c r="G42" s="652">
        <f>ROUND(G40*$C40,4)</f>
        <v>14866.898800000001</v>
      </c>
      <c r="H42" s="652">
        <f t="shared" si="19"/>
        <v>0</v>
      </c>
      <c r="I42" s="652">
        <f>ROUND(I40*$C40,4)</f>
        <v>7433.4494000000004</v>
      </c>
      <c r="J42" s="652">
        <f>ROUND(J40*$C40,4)</f>
        <v>7433.4494000000004</v>
      </c>
      <c r="K42" s="652">
        <f>ROUND(K40*$C40,4)</f>
        <v>14866.898800000001</v>
      </c>
      <c r="L42" s="652">
        <f>ROUND(L40*$C40,4)</f>
        <v>14866.898800000001</v>
      </c>
      <c r="M42" s="652">
        <f>ROUND(M40*$C40,4)</f>
        <v>14866.898800000001</v>
      </c>
      <c r="N42" s="652">
        <f t="shared" si="19"/>
        <v>0</v>
      </c>
      <c r="O42" s="652">
        <f t="shared" si="19"/>
        <v>0</v>
      </c>
      <c r="P42" s="652">
        <f t="shared" si="19"/>
        <v>0</v>
      </c>
      <c r="R42" s="658">
        <f>SUM(E42:P42)</f>
        <v>74334.494000000006</v>
      </c>
      <c r="S42" s="20"/>
    </row>
    <row r="43" spans="1:20" ht="16.5" thickTop="1">
      <c r="A43" s="645"/>
      <c r="B43" s="646"/>
      <c r="C43" s="755">
        <f>'Sintético Desonerado'!H1479*P16</f>
        <v>5208.3205893171798</v>
      </c>
      <c r="D43" s="764">
        <f>C43/$C$55</f>
        <v>9.6362226676688703E-4</v>
      </c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>
        <v>0.5</v>
      </c>
      <c r="P43" s="650">
        <v>0.5</v>
      </c>
      <c r="R43" s="657">
        <f>SUM(E43:P43)</f>
        <v>1</v>
      </c>
      <c r="S43" s="20"/>
      <c r="T43" s="21"/>
    </row>
    <row r="44" spans="1:20" ht="15.75">
      <c r="A44" s="641" t="s">
        <v>1241</v>
      </c>
      <c r="B44" s="642" t="str">
        <f>VLOOKUP(A44,'Sintético Desonerado'!$A$21:$H$1539,5,0)</f>
        <v>SERVIÇOS COMPLEMENTARES</v>
      </c>
      <c r="C44" s="756"/>
      <c r="D44" s="756"/>
      <c r="E44" s="651" t="str">
        <f t="shared" ref="E44:P44" si="20">IF(E43&lt;&gt;0,"I","")</f>
        <v/>
      </c>
      <c r="F44" s="651" t="str">
        <f t="shared" si="20"/>
        <v/>
      </c>
      <c r="G44" s="651" t="str">
        <f t="shared" si="20"/>
        <v/>
      </c>
      <c r="H44" s="651" t="str">
        <f t="shared" si="20"/>
        <v/>
      </c>
      <c r="I44" s="651" t="str">
        <f t="shared" si="20"/>
        <v/>
      </c>
      <c r="J44" s="651" t="str">
        <f t="shared" si="20"/>
        <v/>
      </c>
      <c r="K44" s="651" t="str">
        <f t="shared" si="20"/>
        <v/>
      </c>
      <c r="L44" s="651" t="str">
        <f t="shared" si="20"/>
        <v/>
      </c>
      <c r="M44" s="651" t="str">
        <f t="shared" si="20"/>
        <v/>
      </c>
      <c r="N44" s="651" t="str">
        <f t="shared" si="20"/>
        <v/>
      </c>
      <c r="O44" s="656" t="str">
        <f t="shared" si="20"/>
        <v>I</v>
      </c>
      <c r="P44" s="656" t="str">
        <f t="shared" si="20"/>
        <v>I</v>
      </c>
      <c r="Q44" s="16"/>
      <c r="R44" s="657"/>
      <c r="S44" s="20"/>
    </row>
    <row r="45" spans="1:20" ht="16.5" thickBot="1">
      <c r="A45" s="643"/>
      <c r="B45" s="644"/>
      <c r="C45" s="757"/>
      <c r="D45" s="757"/>
      <c r="E45" s="652">
        <f t="shared" ref="E45:N45" si="21">ROUND(E43*$C45,4)</f>
        <v>0</v>
      </c>
      <c r="F45" s="652">
        <f t="shared" si="21"/>
        <v>0</v>
      </c>
      <c r="G45" s="652">
        <f t="shared" si="21"/>
        <v>0</v>
      </c>
      <c r="H45" s="652">
        <f t="shared" si="21"/>
        <v>0</v>
      </c>
      <c r="I45" s="652">
        <f t="shared" si="21"/>
        <v>0</v>
      </c>
      <c r="J45" s="652">
        <f t="shared" si="21"/>
        <v>0</v>
      </c>
      <c r="K45" s="652">
        <f t="shared" si="21"/>
        <v>0</v>
      </c>
      <c r="L45" s="652">
        <f t="shared" si="21"/>
        <v>0</v>
      </c>
      <c r="M45" s="652">
        <f t="shared" si="21"/>
        <v>0</v>
      </c>
      <c r="N45" s="652">
        <f t="shared" si="21"/>
        <v>0</v>
      </c>
      <c r="O45" s="652">
        <f>ROUND(O43*$C43,4)</f>
        <v>2604.1603</v>
      </c>
      <c r="P45" s="652">
        <f>ROUND(P43*$C43,4)</f>
        <v>2604.1603</v>
      </c>
      <c r="R45" s="658">
        <f>SUM(E45:P45)</f>
        <v>5208.3206</v>
      </c>
      <c r="S45" s="20"/>
    </row>
    <row r="46" spans="1:20" ht="16.5" thickTop="1">
      <c r="A46" s="645"/>
      <c r="B46" s="646"/>
      <c r="C46" s="755">
        <f>'Sintético Desonerado'!H1484*P16</f>
        <v>378535.45413747075</v>
      </c>
      <c r="D46" s="764">
        <f>C46/$C$55</f>
        <v>7.0035088300008805E-2</v>
      </c>
      <c r="E46" s="650">
        <v>0.12570000000000001</v>
      </c>
      <c r="F46" s="650">
        <v>0.11070000000000001</v>
      </c>
      <c r="G46" s="650">
        <v>0.1242</v>
      </c>
      <c r="H46" s="650">
        <v>0.1174</v>
      </c>
      <c r="I46" s="650">
        <v>9.1499999999999998E-2</v>
      </c>
      <c r="J46" s="650">
        <v>7.2300000000000003E-2</v>
      </c>
      <c r="K46" s="650">
        <v>6.7500000000000004E-2</v>
      </c>
      <c r="L46" s="650">
        <v>6.7500000000000004E-2</v>
      </c>
      <c r="M46" s="650">
        <v>5.8200000000000002E-2</v>
      </c>
      <c r="N46" s="650">
        <v>5.4600000000000003E-2</v>
      </c>
      <c r="O46" s="650">
        <v>6.0999999999999999E-2</v>
      </c>
      <c r="P46" s="650">
        <v>4.9399999999999999E-2</v>
      </c>
      <c r="R46" s="657">
        <f>SUM(E46:P46)</f>
        <v>1</v>
      </c>
      <c r="S46" s="20"/>
    </row>
    <row r="47" spans="1:20" ht="15.75">
      <c r="A47" s="641" t="s">
        <v>1247</v>
      </c>
      <c r="B47" s="642" t="str">
        <f>VLOOKUP(A47,'Sintético Desonerado'!$A$21:$H$1539,5,0)</f>
        <v>SERVIÇOS AUXILIARES E ADMINISTRATIVOS</v>
      </c>
      <c r="C47" s="756"/>
      <c r="D47" s="756"/>
      <c r="E47" s="656" t="str">
        <f t="shared" ref="E47:H47" si="22">IF(E46&lt;&gt;0,"I","")</f>
        <v>I</v>
      </c>
      <c r="F47" s="656" t="str">
        <f t="shared" si="22"/>
        <v>I</v>
      </c>
      <c r="G47" s="656" t="str">
        <f t="shared" si="22"/>
        <v>I</v>
      </c>
      <c r="H47" s="656" t="str">
        <f t="shared" si="22"/>
        <v>I</v>
      </c>
      <c r="I47" s="656" t="str">
        <f t="shared" ref="I47:P47" si="23">IF(I46&lt;&gt;0,"I","")</f>
        <v>I</v>
      </c>
      <c r="J47" s="656" t="str">
        <f t="shared" si="23"/>
        <v>I</v>
      </c>
      <c r="K47" s="656" t="str">
        <f t="shared" si="23"/>
        <v>I</v>
      </c>
      <c r="L47" s="656" t="str">
        <f t="shared" si="23"/>
        <v>I</v>
      </c>
      <c r="M47" s="656" t="str">
        <f t="shared" si="23"/>
        <v>I</v>
      </c>
      <c r="N47" s="656" t="str">
        <f t="shared" si="23"/>
        <v>I</v>
      </c>
      <c r="O47" s="656" t="str">
        <f t="shared" si="23"/>
        <v>I</v>
      </c>
      <c r="P47" s="656" t="str">
        <f t="shared" si="23"/>
        <v>I</v>
      </c>
      <c r="R47" s="657"/>
      <c r="S47" s="20"/>
    </row>
    <row r="48" spans="1:20" ht="16.5" thickBot="1">
      <c r="A48" s="643"/>
      <c r="B48" s="644"/>
      <c r="C48" s="757"/>
      <c r="D48" s="757"/>
      <c r="E48" s="652">
        <f t="shared" ref="E48:P48" si="24">ROUND(E46*$C46,4)</f>
        <v>47581.906600000002</v>
      </c>
      <c r="F48" s="652">
        <f t="shared" si="24"/>
        <v>41903.874799999998</v>
      </c>
      <c r="G48" s="652">
        <f t="shared" si="24"/>
        <v>47014.1034</v>
      </c>
      <c r="H48" s="652">
        <f t="shared" si="24"/>
        <v>44440.062299999998</v>
      </c>
      <c r="I48" s="652">
        <f t="shared" si="24"/>
        <v>34635.994100000004</v>
      </c>
      <c r="J48" s="652">
        <f t="shared" si="24"/>
        <v>27368.113300000001</v>
      </c>
      <c r="K48" s="652">
        <f t="shared" si="24"/>
        <v>25551.143199999999</v>
      </c>
      <c r="L48" s="652">
        <f t="shared" si="24"/>
        <v>25551.143199999999</v>
      </c>
      <c r="M48" s="652">
        <f t="shared" si="24"/>
        <v>22030.7634</v>
      </c>
      <c r="N48" s="652">
        <f t="shared" si="24"/>
        <v>20668.035800000001</v>
      </c>
      <c r="O48" s="652">
        <f t="shared" si="24"/>
        <v>23090.662700000001</v>
      </c>
      <c r="P48" s="652">
        <f t="shared" si="24"/>
        <v>18699.651399999999</v>
      </c>
      <c r="R48" s="658">
        <f>SUM(E48:P48)</f>
        <v>378535.45419999998</v>
      </c>
      <c r="S48" s="20"/>
    </row>
    <row r="49" spans="1:19" ht="16.5" thickTop="1">
      <c r="A49" s="645"/>
      <c r="B49" s="646"/>
      <c r="C49" s="755">
        <f>'Sintético Desonerado'!H1492*P13</f>
        <v>187368.05190448495</v>
      </c>
      <c r="D49" s="764">
        <f>C49/$C$55</f>
        <v>3.4666073986733263E-2</v>
      </c>
      <c r="E49" s="650"/>
      <c r="F49" s="650"/>
      <c r="G49" s="650"/>
      <c r="H49" s="650"/>
      <c r="I49" s="650"/>
      <c r="J49" s="650"/>
      <c r="K49" s="650"/>
      <c r="L49" s="650"/>
      <c r="M49" s="650"/>
      <c r="N49" s="650">
        <v>0.1</v>
      </c>
      <c r="O49" s="650">
        <v>0.4</v>
      </c>
      <c r="P49" s="650">
        <v>0.5</v>
      </c>
      <c r="R49" s="657">
        <f>SUM(E49:P49)</f>
        <v>1</v>
      </c>
      <c r="S49" s="20"/>
    </row>
    <row r="50" spans="1:19" ht="15.75">
      <c r="A50" s="641" t="s">
        <v>1255</v>
      </c>
      <c r="B50" s="642" t="str">
        <f>VLOOKUP(A50,'Sintético Desonerado'!$A$21:$H$1539,5,0)</f>
        <v>EQUIPAMENTOS</v>
      </c>
      <c r="C50" s="756"/>
      <c r="D50" s="756"/>
      <c r="E50" s="651" t="str">
        <f t="shared" ref="E50:P50" si="25">IF(E49&lt;&gt;0,"I","")</f>
        <v/>
      </c>
      <c r="F50" s="651" t="str">
        <f t="shared" si="25"/>
        <v/>
      </c>
      <c r="G50" s="651" t="str">
        <f t="shared" si="25"/>
        <v/>
      </c>
      <c r="H50" s="651" t="str">
        <f t="shared" si="25"/>
        <v/>
      </c>
      <c r="I50" s="651" t="str">
        <f t="shared" si="25"/>
        <v/>
      </c>
      <c r="J50" s="651" t="str">
        <f t="shared" si="25"/>
        <v/>
      </c>
      <c r="K50" s="651" t="str">
        <f t="shared" si="25"/>
        <v/>
      </c>
      <c r="L50" s="651" t="str">
        <f t="shared" si="25"/>
        <v/>
      </c>
      <c r="M50" s="651" t="str">
        <f t="shared" si="25"/>
        <v/>
      </c>
      <c r="N50" s="656" t="str">
        <f t="shared" si="25"/>
        <v>I</v>
      </c>
      <c r="O50" s="656" t="str">
        <f t="shared" si="25"/>
        <v>I</v>
      </c>
      <c r="P50" s="656" t="str">
        <f t="shared" si="25"/>
        <v>I</v>
      </c>
      <c r="R50" s="657"/>
      <c r="S50" s="20"/>
    </row>
    <row r="51" spans="1:19" ht="15.75" thickBot="1">
      <c r="A51" s="647"/>
      <c r="B51" s="648"/>
      <c r="C51" s="757"/>
      <c r="D51" s="757"/>
      <c r="E51" s="652">
        <f t="shared" ref="E51:M51" si="26">ROUND(E49*$C51,4)</f>
        <v>0</v>
      </c>
      <c r="F51" s="652">
        <f t="shared" si="26"/>
        <v>0</v>
      </c>
      <c r="G51" s="652">
        <f t="shared" si="26"/>
        <v>0</v>
      </c>
      <c r="H51" s="652">
        <f t="shared" si="26"/>
        <v>0</v>
      </c>
      <c r="I51" s="652">
        <f t="shared" si="26"/>
        <v>0</v>
      </c>
      <c r="J51" s="652">
        <f t="shared" si="26"/>
        <v>0</v>
      </c>
      <c r="K51" s="652">
        <f t="shared" si="26"/>
        <v>0</v>
      </c>
      <c r="L51" s="652">
        <f t="shared" si="26"/>
        <v>0</v>
      </c>
      <c r="M51" s="652">
        <f t="shared" si="26"/>
        <v>0</v>
      </c>
      <c r="N51" s="652">
        <f>ROUND(N49*$C49,4)</f>
        <v>18736.805199999999</v>
      </c>
      <c r="O51" s="652">
        <f>ROUND(O49*$C49,4)</f>
        <v>74947.220799999996</v>
      </c>
      <c r="P51" s="652">
        <f>ROUND(P49*$C49,4)</f>
        <v>93684.025999999998</v>
      </c>
      <c r="R51" s="658">
        <f>SUM(E51:P51)</f>
        <v>187368.052</v>
      </c>
      <c r="S51" s="20"/>
    </row>
    <row r="52" spans="1:19" ht="20.100000000000001" customHeight="1" thickTop="1" thickBot="1">
      <c r="A52" s="633"/>
      <c r="B52" s="634" t="s">
        <v>1328</v>
      </c>
      <c r="C52" s="661"/>
      <c r="D52" s="666"/>
      <c r="E52" s="664">
        <f t="shared" ref="E52:P52" si="27">E54/$C$55</f>
        <v>6.3364587118075452E-2</v>
      </c>
      <c r="F52" s="637">
        <f t="shared" si="27"/>
        <v>4.8673766671431411E-2</v>
      </c>
      <c r="G52" s="637">
        <f t="shared" si="27"/>
        <v>3.1909412238817554E-2</v>
      </c>
      <c r="H52" s="637">
        <f t="shared" si="27"/>
        <v>8.7495703120887752E-2</v>
      </c>
      <c r="I52" s="637">
        <f t="shared" si="27"/>
        <v>9.1968311335918762E-2</v>
      </c>
      <c r="J52" s="637">
        <f t="shared" si="27"/>
        <v>0.10423639451586293</v>
      </c>
      <c r="K52" s="637">
        <f t="shared" si="27"/>
        <v>9.9437627660503042E-2</v>
      </c>
      <c r="L52" s="637">
        <f t="shared" si="27"/>
        <v>9.9437627660503042E-2</v>
      </c>
      <c r="M52" s="637">
        <f t="shared" si="27"/>
        <v>0.10385853754085113</v>
      </c>
      <c r="N52" s="637">
        <f t="shared" si="27"/>
        <v>0.10039343720615314</v>
      </c>
      <c r="O52" s="637">
        <f t="shared" si="27"/>
        <v>9.1073817807932972E-2</v>
      </c>
      <c r="P52" s="638">
        <f t="shared" si="27"/>
        <v>7.8150777114534775E-2</v>
      </c>
      <c r="R52" s="657">
        <f>SUM(E52:P52)</f>
        <v>0.99999999999147193</v>
      </c>
      <c r="S52" s="20"/>
    </row>
    <row r="53" spans="1:19" ht="20.100000000000001" customHeight="1" thickTop="1" thickBot="1">
      <c r="A53" s="635"/>
      <c r="B53" s="636" t="s">
        <v>1329</v>
      </c>
      <c r="C53" s="662"/>
      <c r="D53" s="667"/>
      <c r="E53" s="669">
        <f>+E52</f>
        <v>6.3364587118075452E-2</v>
      </c>
      <c r="F53" s="670">
        <f t="shared" ref="F53:P53" si="28">E53+F52</f>
        <v>0.11203835378950686</v>
      </c>
      <c r="G53" s="670">
        <f t="shared" si="28"/>
        <v>0.1439477660283244</v>
      </c>
      <c r="H53" s="670">
        <f t="shared" si="28"/>
        <v>0.23144346914921216</v>
      </c>
      <c r="I53" s="670">
        <f t="shared" si="28"/>
        <v>0.32341178048513092</v>
      </c>
      <c r="J53" s="670">
        <f t="shared" si="28"/>
        <v>0.42764817500099384</v>
      </c>
      <c r="K53" s="670">
        <f t="shared" si="28"/>
        <v>0.52708580266149685</v>
      </c>
      <c r="L53" s="670">
        <f t="shared" si="28"/>
        <v>0.62652343032199986</v>
      </c>
      <c r="M53" s="670">
        <f t="shared" si="28"/>
        <v>0.73038196786285103</v>
      </c>
      <c r="N53" s="670">
        <f t="shared" si="28"/>
        <v>0.83077540506900416</v>
      </c>
      <c r="O53" s="670">
        <f t="shared" si="28"/>
        <v>0.92184922287693716</v>
      </c>
      <c r="P53" s="659">
        <f t="shared" si="28"/>
        <v>0.99999999999147193</v>
      </c>
    </row>
    <row r="54" spans="1:19" ht="20.100000000000001" customHeight="1" thickTop="1" thickBot="1">
      <c r="A54" s="633"/>
      <c r="B54" s="634" t="s">
        <v>1330</v>
      </c>
      <c r="C54" s="663"/>
      <c r="D54" s="668"/>
      <c r="E54" s="665">
        <f t="shared" ref="E54:P54" si="29">E21+E24+E27+E30+E33+E36+E39+E42+E45+E48+E51</f>
        <v>342481.79509999999</v>
      </c>
      <c r="F54" s="653">
        <f t="shared" si="29"/>
        <v>263078.79119999998</v>
      </c>
      <c r="G54" s="653">
        <f t="shared" si="29"/>
        <v>172468.46039999998</v>
      </c>
      <c r="H54" s="653">
        <f t="shared" si="29"/>
        <v>472909.03059999994</v>
      </c>
      <c r="I54" s="653">
        <f t="shared" si="29"/>
        <v>497083.20989999996</v>
      </c>
      <c r="J54" s="653">
        <f t="shared" si="29"/>
        <v>563391.46409999998</v>
      </c>
      <c r="K54" s="653">
        <f t="shared" si="29"/>
        <v>537454.41689999995</v>
      </c>
      <c r="L54" s="653">
        <f t="shared" si="29"/>
        <v>537454.41689999995</v>
      </c>
      <c r="M54" s="653">
        <f t="shared" si="29"/>
        <v>561349.16980000003</v>
      </c>
      <c r="N54" s="653">
        <f t="shared" si="29"/>
        <v>542620.51020000002</v>
      </c>
      <c r="O54" s="653">
        <f t="shared" si="29"/>
        <v>492248.52599999995</v>
      </c>
      <c r="P54" s="654">
        <f t="shared" si="29"/>
        <v>422400.26569999993</v>
      </c>
    </row>
    <row r="55" spans="1:19" ht="20.100000000000001" customHeight="1" thickTop="1" thickBot="1">
      <c r="A55" s="635"/>
      <c r="B55" s="636" t="s">
        <v>1331</v>
      </c>
      <c r="C55" s="649">
        <f>SUM(C19:C51)</f>
        <v>5404940.0568460934</v>
      </c>
      <c r="D55" s="655">
        <f>SUM(D19:D51)</f>
        <v>1</v>
      </c>
      <c r="E55" s="671">
        <f>E54</f>
        <v>342481.79509999999</v>
      </c>
      <c r="F55" s="671">
        <f t="shared" ref="F55:P55" si="30">E55+F54</f>
        <v>605560.58629999997</v>
      </c>
      <c r="G55" s="671">
        <f t="shared" si="30"/>
        <v>778029.04669999995</v>
      </c>
      <c r="H55" s="671">
        <f t="shared" si="30"/>
        <v>1250938.0773</v>
      </c>
      <c r="I55" s="671">
        <f t="shared" si="30"/>
        <v>1748021.2871999999</v>
      </c>
      <c r="J55" s="671">
        <f t="shared" si="30"/>
        <v>2311412.7512999997</v>
      </c>
      <c r="K55" s="671">
        <f t="shared" si="30"/>
        <v>2848867.1681999997</v>
      </c>
      <c r="L55" s="671">
        <f t="shared" si="30"/>
        <v>3386321.5850999998</v>
      </c>
      <c r="M55" s="671">
        <f t="shared" si="30"/>
        <v>3947670.7549000001</v>
      </c>
      <c r="N55" s="671">
        <f t="shared" si="30"/>
        <v>4490291.2651000004</v>
      </c>
      <c r="O55" s="671">
        <f t="shared" si="30"/>
        <v>4982539.7911</v>
      </c>
      <c r="P55" s="660">
        <f t="shared" si="30"/>
        <v>5404940.0568000004</v>
      </c>
    </row>
    <row r="56" spans="1:19" ht="15" thickTop="1">
      <c r="A56" s="555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556"/>
    </row>
    <row r="57" spans="1:19">
      <c r="A57" s="555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556"/>
    </row>
    <row r="58" spans="1:19">
      <c r="A58" s="555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556"/>
    </row>
    <row r="59" spans="1:19">
      <c r="A59" s="555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556"/>
    </row>
    <row r="60" spans="1:19">
      <c r="A60" s="555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556"/>
    </row>
    <row r="61" spans="1:19">
      <c r="A61" s="555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556"/>
    </row>
    <row r="62" spans="1:19">
      <c r="A62" s="555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556"/>
    </row>
    <row r="63" spans="1:19" ht="20.100000000000001" customHeight="1">
      <c r="A63" s="747" t="s">
        <v>1413</v>
      </c>
      <c r="B63" s="739"/>
      <c r="C63" s="739"/>
      <c r="D63" s="739"/>
      <c r="E63" s="739"/>
      <c r="F63" s="739"/>
      <c r="G63" s="739"/>
      <c r="H63" s="739"/>
      <c r="I63" s="739"/>
      <c r="J63" s="739"/>
      <c r="K63" s="739"/>
      <c r="L63" s="739"/>
      <c r="M63" s="739"/>
      <c r="N63" s="739"/>
      <c r="O63" s="739"/>
      <c r="P63" s="748"/>
    </row>
    <row r="64" spans="1:19" ht="20.100000000000001" customHeight="1">
      <c r="A64" s="747" t="s">
        <v>1414</v>
      </c>
      <c r="B64" s="739"/>
      <c r="C64" s="739"/>
      <c r="D64" s="739"/>
      <c r="E64" s="739"/>
      <c r="F64" s="739"/>
      <c r="G64" s="739"/>
      <c r="H64" s="739"/>
      <c r="I64" s="739"/>
      <c r="J64" s="739"/>
      <c r="K64" s="739"/>
      <c r="L64" s="739"/>
      <c r="M64" s="739"/>
      <c r="N64" s="739"/>
      <c r="O64" s="739"/>
      <c r="P64" s="748"/>
    </row>
    <row r="65" spans="1:16" ht="20.100000000000001" customHeight="1">
      <c r="A65" s="747" t="s">
        <v>1533</v>
      </c>
      <c r="B65" s="739"/>
      <c r="C65" s="739"/>
      <c r="D65" s="739"/>
      <c r="E65" s="739"/>
      <c r="F65" s="739"/>
      <c r="G65" s="739"/>
      <c r="H65" s="739"/>
      <c r="I65" s="739"/>
      <c r="J65" s="739"/>
      <c r="K65" s="739"/>
      <c r="L65" s="739"/>
      <c r="M65" s="739"/>
      <c r="N65" s="739"/>
      <c r="O65" s="739"/>
      <c r="P65" s="748"/>
    </row>
    <row r="66" spans="1:16" ht="20.100000000000001" customHeight="1">
      <c r="A66" s="747" t="s">
        <v>1534</v>
      </c>
      <c r="B66" s="739"/>
      <c r="C66" s="739"/>
      <c r="D66" s="739"/>
      <c r="E66" s="739"/>
      <c r="F66" s="739"/>
      <c r="G66" s="739"/>
      <c r="H66" s="739"/>
      <c r="I66" s="739"/>
      <c r="J66" s="739"/>
      <c r="K66" s="739"/>
      <c r="L66" s="739"/>
      <c r="M66" s="739"/>
      <c r="N66" s="739"/>
      <c r="O66" s="739"/>
      <c r="P66" s="748"/>
    </row>
    <row r="67" spans="1:16" ht="20.100000000000001" customHeight="1" thickBot="1">
      <c r="A67" s="749" t="s">
        <v>1535</v>
      </c>
      <c r="B67" s="750"/>
      <c r="C67" s="750"/>
      <c r="D67" s="750"/>
      <c r="E67" s="750"/>
      <c r="F67" s="750"/>
      <c r="G67" s="750"/>
      <c r="H67" s="750"/>
      <c r="I67" s="750"/>
      <c r="J67" s="750"/>
      <c r="K67" s="750"/>
      <c r="L67" s="750"/>
      <c r="M67" s="750"/>
      <c r="N67" s="750"/>
      <c r="O67" s="750"/>
      <c r="P67" s="751"/>
    </row>
    <row r="68" spans="1:16" ht="15" thickTop="1"/>
  </sheetData>
  <mergeCells count="39">
    <mergeCell ref="A67:P67"/>
    <mergeCell ref="A7:P7"/>
    <mergeCell ref="A63:P63"/>
    <mergeCell ref="A64:P64"/>
    <mergeCell ref="A65:P65"/>
    <mergeCell ref="A66:P66"/>
    <mergeCell ref="A9:C9"/>
    <mergeCell ref="A10:C10"/>
    <mergeCell ref="A11:C11"/>
    <mergeCell ref="A15:P15"/>
    <mergeCell ref="N13:O13"/>
    <mergeCell ref="D37:D39"/>
    <mergeCell ref="D40:D42"/>
    <mergeCell ref="D43:D45"/>
    <mergeCell ref="D46:D48"/>
    <mergeCell ref="E17:P17"/>
    <mergeCell ref="D49:D51"/>
    <mergeCell ref="N16:O16"/>
    <mergeCell ref="C37:C39"/>
    <mergeCell ref="C40:C42"/>
    <mergeCell ref="C43:C45"/>
    <mergeCell ref="C46:C48"/>
    <mergeCell ref="C49:C51"/>
    <mergeCell ref="D22:D24"/>
    <mergeCell ref="D25:D27"/>
    <mergeCell ref="D28:D30"/>
    <mergeCell ref="D31:D33"/>
    <mergeCell ref="D34:D36"/>
    <mergeCell ref="C22:C24"/>
    <mergeCell ref="C25:C27"/>
    <mergeCell ref="C28:C30"/>
    <mergeCell ref="C31:C33"/>
    <mergeCell ref="C34:C36"/>
    <mergeCell ref="C17:C18"/>
    <mergeCell ref="A17:A18"/>
    <mergeCell ref="B17:B18"/>
    <mergeCell ref="D17:D18"/>
    <mergeCell ref="C19:C21"/>
    <mergeCell ref="D19:D21"/>
  </mergeCells>
  <printOptions horizontalCentered="1"/>
  <pageMargins left="0.39370078740157483" right="0.39370078740157483" top="0.59055118110236227" bottom="0.39370078740157483" header="0" footer="0"/>
  <pageSetup paperSize="9" scale="53" orientation="landscape" horizontalDpi="360" verticalDpi="360" r:id="rId1"/>
  <rowBreaks count="1" manualBreakCount="1">
    <brk id="51" max="15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BDI Edificações</vt:lpstr>
      <vt:lpstr>BDI Equipamentos</vt:lpstr>
      <vt:lpstr>Sintético Desonerado</vt:lpstr>
      <vt:lpstr>Cronograma físico financeiro</vt:lpstr>
      <vt:lpstr>'Cronograma físico financeiro'!Area_de_impressao</vt:lpstr>
      <vt:lpstr>'Sintético Desonerado'!Area_de_impressao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Oliveira</dc:creator>
  <cp:lastModifiedBy>2448</cp:lastModifiedBy>
  <cp:revision>44</cp:revision>
  <cp:lastPrinted>2021-05-06T15:01:08Z</cp:lastPrinted>
  <dcterms:created xsi:type="dcterms:W3CDTF">2015-06-05T18:19:34Z</dcterms:created>
  <dcterms:modified xsi:type="dcterms:W3CDTF">2021-05-12T19:30:02Z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