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512e765abb24c3f5/CBMDF/Quartéis/CESMA/PLO/R02 - ATUALIZAÇÃO PLO 08 2025/"/>
    </mc:Choice>
  </mc:AlternateContent>
  <xr:revisionPtr revIDLastSave="3791" documentId="13_ncr:1_{E7D69BA3-7645-4907-90AA-7AAC482E7C97}" xr6:coauthVersionLast="47" xr6:coauthVersionMax="47" xr10:uidLastSave="{B6A75F62-F9B2-42FA-989E-96414F258209}"/>
  <bookViews>
    <workbookView xWindow="38290" yWindow="-110" windowWidth="38620" windowHeight="21100" xr2:uid="{F9A52584-3BC4-4CF2-9D67-7034AFC57AD6}"/>
  </bookViews>
  <sheets>
    <sheet name="CAPA LICITAÇÃO" sheetId="20" r:id="rId1"/>
    <sheet name="RESUMO" sheetId="58" r:id="rId2"/>
    <sheet name="CAPA BDI" sheetId="15" r:id="rId3"/>
    <sheet name="BDI" sheetId="14" r:id="rId4"/>
    <sheet name="CAPA ENC. SOCIAIS" sheetId="4" r:id="rId5"/>
    <sheet name="ENCARGOS SOCIAIS" sheetId="3" r:id="rId6"/>
    <sheet name="CAPA PLANILHA PROPOSTA" sheetId="5" r:id="rId7"/>
    <sheet name="PLANILHA PROPOSTA" sheetId="57" r:id="rId8"/>
    <sheet name="CAPA CRONOGRAMA" sheetId="55" r:id="rId9"/>
    <sheet name="CRONOGRAMA" sheetId="59" r:id="rId10"/>
  </sheets>
  <definedNames>
    <definedName name="_xlnm._FilterDatabase" localSheetId="7" hidden="1">'PLANILHA PROPOSTA'!$A$8:$M$424</definedName>
    <definedName name="_xlnm.Print_Area" localSheetId="3">BDI!$A$1:$F$68</definedName>
    <definedName name="_xlnm.Print_Area" localSheetId="2">'CAPA BDI'!$A$1:$D$40</definedName>
    <definedName name="_xlnm.Print_Area" localSheetId="8">'CAPA CRONOGRAMA'!$A$1:$D$40</definedName>
    <definedName name="_xlnm.Print_Area" localSheetId="4">'CAPA ENC. SOCIAIS'!$A$1:$D$40</definedName>
    <definedName name="_xlnm.Print_Area" localSheetId="0">'CAPA LICITAÇÃO'!$A$1:$D$39</definedName>
    <definedName name="_xlnm.Print_Area" localSheetId="6">'CAPA PLANILHA PROPOSTA'!$A$1:$D$40</definedName>
    <definedName name="_xlnm.Print_Area" localSheetId="9">CRONOGRAMA!$A$1:$J$53</definedName>
    <definedName name="_xlnm.Print_Area" localSheetId="5">'ENCARGOS SOCIAIS'!$A$1:$D$51</definedName>
    <definedName name="_xlnm.Print_Area" localSheetId="7">'PLANILHA PROPOSTA'!$A$1:$M$436</definedName>
    <definedName name="_xlnm.Print_Area" localSheetId="1">RESUMO!$A$1:$F$30</definedName>
    <definedName name="_xlnm.Print_Titles" localSheetId="7">'PLANILHA PROPOSTA'!$1:$8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9" l="1"/>
  <c r="A51" i="59"/>
  <c r="A52" i="59"/>
  <c r="A53" i="59"/>
  <c r="A50" i="59"/>
  <c r="A5" i="59"/>
  <c r="A4" i="59"/>
  <c r="A3" i="59"/>
  <c r="A2" i="59"/>
  <c r="A1" i="59"/>
  <c r="J40" i="59"/>
  <c r="I40" i="59"/>
  <c r="H40" i="59"/>
  <c r="G40" i="59"/>
  <c r="F40" i="59"/>
  <c r="E40" i="59"/>
  <c r="L39" i="59"/>
  <c r="J37" i="59"/>
  <c r="I37" i="59"/>
  <c r="H37" i="59"/>
  <c r="G37" i="59"/>
  <c r="F37" i="59"/>
  <c r="E37" i="59"/>
  <c r="L36" i="59"/>
  <c r="J34" i="59"/>
  <c r="I34" i="59"/>
  <c r="H34" i="59"/>
  <c r="G34" i="59"/>
  <c r="F34" i="59"/>
  <c r="E34" i="59"/>
  <c r="L33" i="59"/>
  <c r="J31" i="59"/>
  <c r="I31" i="59"/>
  <c r="H31" i="59"/>
  <c r="G31" i="59"/>
  <c r="F31" i="59"/>
  <c r="E31" i="59"/>
  <c r="L30" i="59"/>
  <c r="J28" i="59"/>
  <c r="I28" i="59"/>
  <c r="H28" i="59"/>
  <c r="G28" i="59"/>
  <c r="F28" i="59"/>
  <c r="E28" i="59"/>
  <c r="L27" i="59"/>
  <c r="J25" i="59"/>
  <c r="I25" i="59"/>
  <c r="H25" i="59"/>
  <c r="G25" i="59"/>
  <c r="F25" i="59"/>
  <c r="E25" i="59"/>
  <c r="L24" i="59"/>
  <c r="J22" i="59"/>
  <c r="I22" i="59"/>
  <c r="H22" i="59"/>
  <c r="G22" i="59"/>
  <c r="F22" i="59"/>
  <c r="E22" i="59"/>
  <c r="L21" i="59"/>
  <c r="J19" i="59"/>
  <c r="I19" i="59"/>
  <c r="H19" i="59"/>
  <c r="G19" i="59"/>
  <c r="F19" i="59"/>
  <c r="L18" i="59"/>
  <c r="J16" i="59"/>
  <c r="I16" i="59"/>
  <c r="H16" i="59"/>
  <c r="G16" i="59"/>
  <c r="F16" i="59"/>
  <c r="E16" i="59"/>
  <c r="L15" i="59"/>
  <c r="J10" i="59"/>
  <c r="I10" i="59"/>
  <c r="H10" i="59"/>
  <c r="G10" i="59"/>
  <c r="F10" i="59"/>
  <c r="E10" i="59"/>
  <c r="L9" i="59"/>
  <c r="G13" i="59" l="1"/>
  <c r="I13" i="59" l="1"/>
  <c r="H13" i="59"/>
  <c r="F13" i="59"/>
  <c r="J13" i="59"/>
  <c r="E13" i="59"/>
  <c r="L12" i="59"/>
  <c r="A27" i="58" l="1"/>
  <c r="A28" i="58"/>
  <c r="A29" i="58"/>
  <c r="A30" i="58"/>
  <c r="A26" i="58"/>
  <c r="A24" i="58"/>
  <c r="A4" i="58"/>
  <c r="A3" i="58"/>
  <c r="A2" i="58"/>
  <c r="A1" i="58"/>
  <c r="A7" i="57" l="1"/>
  <c r="K6" i="57"/>
  <c r="A436" i="57"/>
  <c r="A435" i="57"/>
  <c r="A434" i="57"/>
  <c r="A433" i="57"/>
  <c r="A3" i="57"/>
  <c r="A2" i="57"/>
  <c r="A1" i="57"/>
  <c r="A66" i="14"/>
  <c r="A67" i="14"/>
  <c r="A68" i="14"/>
  <c r="A65" i="14"/>
  <c r="A49" i="3"/>
  <c r="A50" i="3"/>
  <c r="A51" i="3"/>
  <c r="A48" i="3"/>
  <c r="A2" i="3"/>
  <c r="A1" i="3"/>
  <c r="A3" i="3"/>
  <c r="D44" i="3"/>
  <c r="C44" i="3"/>
  <c r="D40" i="3"/>
  <c r="C40" i="3"/>
  <c r="D33" i="3"/>
  <c r="C33" i="3"/>
  <c r="D21" i="3"/>
  <c r="C21" i="3"/>
  <c r="D45" i="3" l="1"/>
  <c r="C45" i="3"/>
  <c r="D55" i="14"/>
  <c r="F55" i="14" s="1"/>
  <c r="D24" i="14"/>
  <c r="F24" i="14" s="1"/>
  <c r="D52" i="14"/>
  <c r="F52" i="14" s="1"/>
  <c r="D21" i="14"/>
  <c r="F21" i="14" s="1"/>
  <c r="D46" i="14"/>
  <c r="F46" i="14" s="1"/>
  <c r="D15" i="14"/>
  <c r="F15" i="14" s="1"/>
  <c r="D43" i="14"/>
  <c r="F43" i="14" s="1"/>
  <c r="D12" i="14"/>
  <c r="F12" i="14" s="1"/>
  <c r="F26" i="14" l="1"/>
  <c r="F3" i="14" s="1"/>
  <c r="B4" i="57" s="1"/>
  <c r="F57" i="14"/>
  <c r="F34" i="14" s="1"/>
  <c r="I393" i="57" l="1"/>
  <c r="K393" i="57" s="1"/>
  <c r="L393" i="57" s="1"/>
  <c r="I378" i="57"/>
  <c r="K378" i="57" s="1"/>
  <c r="L378" i="57" s="1"/>
  <c r="I377" i="57"/>
  <c r="K377" i="57" s="1"/>
  <c r="L377" i="57" s="1"/>
  <c r="I334" i="57"/>
  <c r="K334" i="57" s="1"/>
  <c r="L334" i="57" s="1"/>
  <c r="I333" i="57"/>
  <c r="K333" i="57" s="1"/>
  <c r="L333" i="57" s="1"/>
  <c r="I284" i="57"/>
  <c r="K284" i="57" s="1"/>
  <c r="L284" i="57" s="1"/>
  <c r="I283" i="57"/>
  <c r="K283" i="57" s="1"/>
  <c r="L283" i="57" s="1"/>
  <c r="I246" i="57"/>
  <c r="K246" i="57" s="1"/>
  <c r="L246" i="57" s="1"/>
  <c r="I245" i="57"/>
  <c r="K245" i="57" s="1"/>
  <c r="L245" i="57" s="1"/>
  <c r="I204" i="57"/>
  <c r="K204" i="57" s="1"/>
  <c r="L204" i="57" s="1"/>
  <c r="I198" i="57"/>
  <c r="K198" i="57" s="1"/>
  <c r="L198" i="57" s="1"/>
  <c r="I149" i="57"/>
  <c r="K149" i="57" s="1"/>
  <c r="L149" i="57" s="1"/>
  <c r="I148" i="57"/>
  <c r="K148" i="57" s="1"/>
  <c r="L148" i="57" s="1"/>
  <c r="I105" i="57"/>
  <c r="K105" i="57" s="1"/>
  <c r="L105" i="57" s="1"/>
  <c r="I104" i="57"/>
  <c r="K104" i="57" s="1"/>
  <c r="I66" i="57"/>
  <c r="K66" i="57" s="1"/>
  <c r="L66" i="57" s="1"/>
  <c r="I65" i="57"/>
  <c r="K65" i="57" s="1"/>
  <c r="I150" i="57"/>
  <c r="K150" i="57" s="1"/>
  <c r="L150" i="57" s="1"/>
  <c r="I338" i="57"/>
  <c r="K338" i="57" s="1"/>
  <c r="I311" i="57"/>
  <c r="K311" i="57" s="1"/>
  <c r="L311" i="57" s="1"/>
  <c r="I395" i="57"/>
  <c r="K395" i="57" s="1"/>
  <c r="L395" i="57" s="1"/>
  <c r="I223" i="57"/>
  <c r="K223" i="57" s="1"/>
  <c r="L223" i="57" s="1"/>
  <c r="I145" i="57"/>
  <c r="K145" i="57" s="1"/>
  <c r="L145" i="57" s="1"/>
  <c r="I352" i="57"/>
  <c r="K352" i="57" s="1"/>
  <c r="L352" i="57" s="1"/>
  <c r="I137" i="57"/>
  <c r="K137" i="57" s="1"/>
  <c r="L137" i="57" s="1"/>
  <c r="I102" i="57"/>
  <c r="K102" i="57" s="1"/>
  <c r="L102" i="57" s="1"/>
  <c r="I268" i="57"/>
  <c r="K268" i="57" s="1"/>
  <c r="L268" i="57" s="1"/>
  <c r="I205" i="57"/>
  <c r="K205" i="57" s="1"/>
  <c r="L205" i="57" s="1"/>
  <c r="I288" i="57"/>
  <c r="K288" i="57" s="1"/>
  <c r="L288" i="57" s="1"/>
  <c r="I272" i="57"/>
  <c r="K272" i="57" s="1"/>
  <c r="L272" i="57" s="1"/>
  <c r="I68" i="57"/>
  <c r="K68" i="57" s="1"/>
  <c r="L68" i="57" s="1"/>
  <c r="I364" i="57"/>
  <c r="K364" i="57" s="1"/>
  <c r="L364" i="57" s="1"/>
  <c r="I297" i="57"/>
  <c r="K297" i="57" s="1"/>
  <c r="L297" i="57" s="1"/>
  <c r="I366" i="57"/>
  <c r="K366" i="57" s="1"/>
  <c r="L366" i="57" s="1"/>
  <c r="I260" i="57"/>
  <c r="K260" i="57" s="1"/>
  <c r="L260" i="57" s="1"/>
  <c r="I41" i="57"/>
  <c r="K41" i="57" s="1"/>
  <c r="I381" i="57"/>
  <c r="K381" i="57" s="1"/>
  <c r="L381" i="57" s="1"/>
  <c r="I392" i="57"/>
  <c r="K392" i="57" s="1"/>
  <c r="I151" i="57"/>
  <c r="K151" i="57" s="1"/>
  <c r="L151" i="57" s="1"/>
  <c r="I76" i="57"/>
  <c r="K76" i="57" s="1"/>
  <c r="L76" i="57" s="1"/>
  <c r="I355" i="57"/>
  <c r="K355" i="57" s="1"/>
  <c r="I350" i="57"/>
  <c r="K350" i="57" s="1"/>
  <c r="L350" i="57" s="1"/>
  <c r="I181" i="57"/>
  <c r="K181" i="57" s="1"/>
  <c r="I243" i="57"/>
  <c r="K243" i="57" s="1"/>
  <c r="L243" i="57" s="1"/>
  <c r="I235" i="57"/>
  <c r="K235" i="57" s="1"/>
  <c r="L235" i="57" s="1"/>
  <c r="I16" i="57"/>
  <c r="K16" i="57" s="1"/>
  <c r="L16" i="57" s="1"/>
  <c r="I255" i="57"/>
  <c r="K255" i="57" s="1"/>
  <c r="L255" i="57" s="1"/>
  <c r="I184" i="57"/>
  <c r="K184" i="57" s="1"/>
  <c r="L184" i="57" s="1"/>
  <c r="I358" i="57"/>
  <c r="K358" i="57" s="1"/>
  <c r="L358" i="57" s="1"/>
  <c r="I210" i="57"/>
  <c r="K210" i="57" s="1"/>
  <c r="L210" i="57" s="1"/>
  <c r="I320" i="57"/>
  <c r="K320" i="57" s="1"/>
  <c r="L320" i="57" s="1"/>
  <c r="I13" i="57"/>
  <c r="K13" i="57" s="1"/>
  <c r="I229" i="57"/>
  <c r="K229" i="57" s="1"/>
  <c r="I171" i="57"/>
  <c r="K171" i="57" s="1"/>
  <c r="L171" i="57" s="1"/>
  <c r="I96" i="57"/>
  <c r="K96" i="57" s="1"/>
  <c r="L96" i="57" s="1"/>
  <c r="I369" i="57"/>
  <c r="K369" i="57" s="1"/>
  <c r="L369" i="57" s="1"/>
  <c r="I382" i="57"/>
  <c r="K382" i="57" s="1"/>
  <c r="L382" i="57" s="1"/>
  <c r="I57" i="57"/>
  <c r="K57" i="57" s="1"/>
  <c r="I73" i="57"/>
  <c r="K73" i="57" s="1"/>
  <c r="L73" i="57" s="1"/>
  <c r="I132" i="57"/>
  <c r="K132" i="57" s="1"/>
  <c r="I273" i="57"/>
  <c r="K273" i="57" s="1"/>
  <c r="L273" i="57" s="1"/>
  <c r="I112" i="57"/>
  <c r="K112" i="57" s="1"/>
  <c r="I129" i="57"/>
  <c r="K129" i="57" s="1"/>
  <c r="L129" i="57" s="1"/>
  <c r="I327" i="57"/>
  <c r="K327" i="57" s="1"/>
  <c r="L327" i="57" s="1"/>
  <c r="I310" i="57"/>
  <c r="K310" i="57" s="1"/>
  <c r="L310" i="57" s="1"/>
  <c r="I302" i="57"/>
  <c r="K302" i="57" s="1"/>
  <c r="L302" i="57" s="1"/>
  <c r="I140" i="57"/>
  <c r="K140" i="57" s="1"/>
  <c r="L140" i="57" s="1"/>
  <c r="I176" i="57"/>
  <c r="K176" i="57" s="1"/>
  <c r="L176" i="57" s="1"/>
  <c r="I351" i="57"/>
  <c r="K351" i="57" s="1"/>
  <c r="L351" i="57" s="1"/>
  <c r="I75" i="57"/>
  <c r="K75" i="57" s="1"/>
  <c r="L75" i="57" s="1"/>
  <c r="I227" i="57"/>
  <c r="K227" i="57" s="1"/>
  <c r="L227" i="57" s="1"/>
  <c r="I262" i="57"/>
  <c r="K262" i="57" s="1"/>
  <c r="L262" i="57" s="1"/>
  <c r="I370" i="57"/>
  <c r="K370" i="57" s="1"/>
  <c r="L370" i="57" s="1"/>
  <c r="I328" i="57"/>
  <c r="K328" i="57" s="1"/>
  <c r="L328" i="57" s="1"/>
  <c r="I301" i="57"/>
  <c r="K301" i="57" s="1"/>
  <c r="L301" i="57" s="1"/>
  <c r="I293" i="57"/>
  <c r="K293" i="57" s="1"/>
  <c r="I160" i="57"/>
  <c r="K160" i="57" s="1"/>
  <c r="L160" i="57" s="1"/>
  <c r="I247" i="57"/>
  <c r="K247" i="57" s="1"/>
  <c r="L247" i="57" s="1"/>
  <c r="I154" i="57"/>
  <c r="K154" i="57" s="1"/>
  <c r="I87" i="57"/>
  <c r="K87" i="57" s="1"/>
  <c r="I20" i="57"/>
  <c r="K20" i="57" s="1"/>
  <c r="L20" i="57" s="1"/>
  <c r="I316" i="57"/>
  <c r="K316" i="57" s="1"/>
  <c r="I242" i="57"/>
  <c r="K242" i="57" s="1"/>
  <c r="I25" i="57"/>
  <c r="K25" i="57" s="1"/>
  <c r="I271" i="57"/>
  <c r="K271" i="57" s="1"/>
  <c r="L271" i="57" s="1"/>
  <c r="I147" i="57"/>
  <c r="K147" i="57" s="1"/>
  <c r="L147" i="57" s="1"/>
  <c r="I305" i="57"/>
  <c r="K305" i="57" s="1"/>
  <c r="I238" i="57"/>
  <c r="K238" i="57" s="1"/>
  <c r="L238" i="57" s="1"/>
  <c r="I325" i="57"/>
  <c r="K325" i="57" s="1"/>
  <c r="L325" i="57" s="1"/>
  <c r="I335" i="57"/>
  <c r="K335" i="57" s="1"/>
  <c r="L335" i="57" s="1"/>
  <c r="I339" i="57"/>
  <c r="K339" i="57" s="1"/>
  <c r="L339" i="57" s="1"/>
  <c r="I222" i="57"/>
  <c r="K222" i="57" s="1"/>
  <c r="L222" i="57" s="1"/>
  <c r="I213" i="57"/>
  <c r="K213" i="57" s="1"/>
  <c r="L213" i="57" s="1"/>
  <c r="I224" i="57"/>
  <c r="K224" i="57" s="1"/>
  <c r="L224" i="57" s="1"/>
  <c r="I419" i="57"/>
  <c r="K419" i="57" s="1"/>
  <c r="L419" i="57" s="1"/>
  <c r="I122" i="57"/>
  <c r="K122" i="57" s="1"/>
  <c r="L122" i="57" s="1"/>
  <c r="I319" i="57"/>
  <c r="K319" i="57" s="1"/>
  <c r="L319" i="57" s="1"/>
  <c r="I197" i="57"/>
  <c r="K197" i="57" s="1"/>
  <c r="L197" i="57" s="1"/>
  <c r="I344" i="57"/>
  <c r="K344" i="57" s="1"/>
  <c r="L344" i="57" s="1"/>
  <c r="I359" i="57"/>
  <c r="K359" i="57" s="1"/>
  <c r="L359" i="57" s="1"/>
  <c r="I110" i="57"/>
  <c r="K110" i="57" s="1"/>
  <c r="L110" i="57" s="1"/>
  <c r="I61" i="57"/>
  <c r="K61" i="57" s="1"/>
  <c r="L61" i="57" s="1"/>
  <c r="I244" i="57"/>
  <c r="K244" i="57" s="1"/>
  <c r="L244" i="57" s="1"/>
  <c r="I309" i="57"/>
  <c r="K309" i="57" s="1"/>
  <c r="L309" i="57" s="1"/>
  <c r="I295" i="57"/>
  <c r="K295" i="57" s="1"/>
  <c r="I179" i="57"/>
  <c r="K179" i="57" s="1"/>
  <c r="L179" i="57" s="1"/>
  <c r="I94" i="57"/>
  <c r="K94" i="57" s="1"/>
  <c r="L94" i="57" s="1"/>
  <c r="I101" i="57"/>
  <c r="K101" i="57" s="1"/>
  <c r="L101" i="57" s="1"/>
  <c r="I230" i="57"/>
  <c r="K230" i="57" s="1"/>
  <c r="L230" i="57" s="1"/>
  <c r="I282" i="57"/>
  <c r="K282" i="57" s="1"/>
  <c r="L282" i="57" s="1"/>
  <c r="I117" i="57"/>
  <c r="K117" i="57" s="1"/>
  <c r="L117" i="57" s="1"/>
  <c r="I156" i="57"/>
  <c r="K156" i="57" s="1"/>
  <c r="L156" i="57" s="1"/>
  <c r="I113" i="57"/>
  <c r="K113" i="57" s="1"/>
  <c r="L113" i="57" s="1"/>
  <c r="I139" i="57"/>
  <c r="K139" i="57" s="1"/>
  <c r="L139" i="57" s="1"/>
  <c r="I324" i="57"/>
  <c r="K324" i="57" s="1"/>
  <c r="I343" i="57"/>
  <c r="K343" i="57" s="1"/>
  <c r="L343" i="57" s="1"/>
  <c r="I281" i="57"/>
  <c r="K281" i="57" s="1"/>
  <c r="L281" i="57" s="1"/>
  <c r="I128" i="57"/>
  <c r="K128" i="57" s="1"/>
  <c r="L128" i="57" s="1"/>
  <c r="I39" i="57"/>
  <c r="K39" i="57" s="1"/>
  <c r="I300" i="57"/>
  <c r="K300" i="57" s="1"/>
  <c r="I331" i="57"/>
  <c r="K331" i="57" s="1"/>
  <c r="L331" i="57" s="1"/>
  <c r="I275" i="57"/>
  <c r="K275" i="57" s="1"/>
  <c r="L275" i="57" s="1"/>
  <c r="I345" i="57"/>
  <c r="K345" i="57" s="1"/>
  <c r="L345" i="57" s="1"/>
  <c r="I298" i="57"/>
  <c r="K298" i="57" s="1"/>
  <c r="L298" i="57" s="1"/>
  <c r="I375" i="57"/>
  <c r="K375" i="57" s="1"/>
  <c r="I206" i="57"/>
  <c r="K206" i="57" s="1"/>
  <c r="L206" i="57" s="1"/>
  <c r="I23" i="57"/>
  <c r="K23" i="57" s="1"/>
  <c r="L23" i="57" s="1"/>
  <c r="I231" i="57"/>
  <c r="K231" i="57" s="1"/>
  <c r="L231" i="57" s="1"/>
  <c r="I239" i="57"/>
  <c r="K239" i="57" s="1"/>
  <c r="L239" i="57" s="1"/>
  <c r="I124" i="57"/>
  <c r="K124" i="57" s="1"/>
  <c r="L124" i="57" s="1"/>
  <c r="I215" i="57"/>
  <c r="K215" i="57" s="1"/>
  <c r="L215" i="57" s="1"/>
  <c r="I414" i="57"/>
  <c r="K414" i="57" s="1"/>
  <c r="I158" i="57"/>
  <c r="K158" i="57" s="1"/>
  <c r="L158" i="57" s="1"/>
  <c r="I412" i="57"/>
  <c r="K412" i="57" s="1"/>
  <c r="I152" i="57"/>
  <c r="K152" i="57" s="1"/>
  <c r="L152" i="57" s="1"/>
  <c r="I98" i="57"/>
  <c r="K98" i="57" s="1"/>
  <c r="L98" i="57" s="1"/>
  <c r="I78" i="57"/>
  <c r="K78" i="57" s="1"/>
  <c r="L78" i="57" s="1"/>
  <c r="I385" i="57"/>
  <c r="K385" i="57" s="1"/>
  <c r="L385" i="57" s="1"/>
  <c r="I276" i="57"/>
  <c r="K276" i="57" s="1"/>
  <c r="L276" i="57" s="1"/>
  <c r="I109" i="57"/>
  <c r="K109" i="57" s="1"/>
  <c r="L109" i="57" s="1"/>
  <c r="I121" i="57"/>
  <c r="K121" i="57" s="1"/>
  <c r="I169" i="57"/>
  <c r="K169" i="57" s="1"/>
  <c r="I416" i="57"/>
  <c r="K416" i="57" s="1"/>
  <c r="L416" i="57" s="1"/>
  <c r="I380" i="57"/>
  <c r="K380" i="57" s="1"/>
  <c r="L380" i="57" s="1"/>
  <c r="I19" i="57"/>
  <c r="K19" i="57" s="1"/>
  <c r="I407" i="57"/>
  <c r="K407" i="57" s="1"/>
  <c r="L407" i="57" s="1"/>
  <c r="I214" i="57"/>
  <c r="K214" i="57" s="1"/>
  <c r="L214" i="57" s="1"/>
  <c r="I182" i="57"/>
  <c r="K182" i="57" s="1"/>
  <c r="L182" i="57" s="1"/>
  <c r="I146" i="57"/>
  <c r="K146" i="57" s="1"/>
  <c r="L146" i="57" s="1"/>
  <c r="I79" i="57"/>
  <c r="K79" i="57" s="1"/>
  <c r="L79" i="57" s="1"/>
  <c r="I368" i="57"/>
  <c r="K368" i="57" s="1"/>
  <c r="L368" i="57" s="1"/>
  <c r="I332" i="57"/>
  <c r="K332" i="57" s="1"/>
  <c r="L332" i="57" s="1"/>
  <c r="I159" i="57"/>
  <c r="K159" i="57" s="1"/>
  <c r="L159" i="57" s="1"/>
  <c r="I386" i="57"/>
  <c r="K386" i="57" s="1"/>
  <c r="L386" i="57" s="1"/>
  <c r="I225" i="57"/>
  <c r="K225" i="57" s="1"/>
  <c r="L225" i="57" s="1"/>
  <c r="I108" i="57"/>
  <c r="K108" i="57" s="1"/>
  <c r="L108" i="57" s="1"/>
  <c r="I342" i="57"/>
  <c r="K342" i="57" s="1"/>
  <c r="L342" i="57" s="1"/>
  <c r="I93" i="57"/>
  <c r="K93" i="57" s="1"/>
  <c r="L93" i="57" s="1"/>
  <c r="I349" i="57"/>
  <c r="K349" i="57" s="1"/>
  <c r="I410" i="57"/>
  <c r="K410" i="57" s="1"/>
  <c r="L410" i="57" s="1"/>
  <c r="I191" i="57"/>
  <c r="K191" i="57" s="1"/>
  <c r="L191" i="57" s="1"/>
  <c r="I217" i="57"/>
  <c r="K217" i="57" s="1"/>
  <c r="L217" i="57" s="1"/>
  <c r="I49" i="57"/>
  <c r="K49" i="57" s="1"/>
  <c r="I376" i="57"/>
  <c r="K376" i="57" s="1"/>
  <c r="L376" i="57" s="1"/>
  <c r="I202" i="57"/>
  <c r="K202" i="57" s="1"/>
  <c r="L202" i="57" s="1"/>
  <c r="I52" i="57"/>
  <c r="K52" i="57" s="1"/>
  <c r="I287" i="57"/>
  <c r="K287" i="57" s="1"/>
  <c r="I291" i="57"/>
  <c r="K291" i="57" s="1"/>
  <c r="L291" i="57" s="1"/>
  <c r="I170" i="57"/>
  <c r="K170" i="57" s="1"/>
  <c r="L170" i="57" s="1"/>
  <c r="I95" i="57"/>
  <c r="K95" i="57" s="1"/>
  <c r="L95" i="57" s="1"/>
  <c r="I356" i="57"/>
  <c r="K356" i="57" s="1"/>
  <c r="L356" i="57" s="1"/>
  <c r="I89" i="57"/>
  <c r="K89" i="57" s="1"/>
  <c r="L89" i="57" s="1"/>
  <c r="I318" i="57"/>
  <c r="K318" i="57" s="1"/>
  <c r="I183" i="57"/>
  <c r="K183" i="57" s="1"/>
  <c r="L183" i="57" s="1"/>
  <c r="I130" i="57"/>
  <c r="K130" i="57" s="1"/>
  <c r="L130" i="57" s="1"/>
  <c r="I306" i="57"/>
  <c r="K306" i="57" s="1"/>
  <c r="L306" i="57" s="1"/>
  <c r="I114" i="57"/>
  <c r="K114" i="57" s="1"/>
  <c r="L114" i="57" s="1"/>
  <c r="I219" i="57"/>
  <c r="K219" i="57" s="1"/>
  <c r="I164" i="57"/>
  <c r="K164" i="57" s="1"/>
  <c r="I250" i="57"/>
  <c r="K250" i="57" s="1"/>
  <c r="L250" i="57" s="1"/>
  <c r="I403" i="57"/>
  <c r="K403" i="57" s="1"/>
  <c r="L403" i="57" s="1"/>
  <c r="I367" i="57"/>
  <c r="K367" i="57" s="1"/>
  <c r="L367" i="57" s="1"/>
  <c r="I400" i="57"/>
  <c r="K400" i="57" s="1"/>
  <c r="L400" i="57" s="1"/>
  <c r="I107" i="57"/>
  <c r="K107" i="57" s="1"/>
  <c r="L107" i="57" s="1"/>
  <c r="I53" i="57"/>
  <c r="K53" i="57" s="1"/>
  <c r="L53" i="57" s="1"/>
  <c r="I44" i="57"/>
  <c r="K44" i="57" s="1"/>
  <c r="I91" i="57"/>
  <c r="K91" i="57" s="1"/>
  <c r="L91" i="57" s="1"/>
  <c r="I274" i="57"/>
  <c r="K274" i="57" s="1"/>
  <c r="L274" i="57" s="1"/>
  <c r="I336" i="57"/>
  <c r="K336" i="57" s="1"/>
  <c r="L336" i="57" s="1"/>
  <c r="I361" i="57"/>
  <c r="K361" i="57" s="1"/>
  <c r="L361" i="57" s="1"/>
  <c r="I269" i="57"/>
  <c r="K269" i="57" s="1"/>
  <c r="L269" i="57" s="1"/>
  <c r="I296" i="57"/>
  <c r="K296" i="57" s="1"/>
  <c r="L296" i="57" s="1"/>
  <c r="I196" i="57"/>
  <c r="K196" i="57" s="1"/>
  <c r="L196" i="57" s="1"/>
  <c r="I97" i="57"/>
  <c r="K97" i="57" s="1"/>
  <c r="L97" i="57" s="1"/>
  <c r="I185" i="57"/>
  <c r="K185" i="57" s="1"/>
  <c r="L185" i="57" s="1"/>
  <c r="I186" i="57"/>
  <c r="K186" i="57" s="1"/>
  <c r="L186" i="57" s="1"/>
  <c r="I85" i="57"/>
  <c r="K85" i="57" s="1"/>
  <c r="L85" i="57" s="1"/>
  <c r="I253" i="57"/>
  <c r="K253" i="57" s="1"/>
  <c r="L253" i="57" s="1"/>
  <c r="I259" i="57"/>
  <c r="K259" i="57" s="1"/>
  <c r="I357" i="57"/>
  <c r="K357" i="57" s="1"/>
  <c r="L357" i="57" s="1"/>
  <c r="I193" i="57"/>
  <c r="K193" i="57" s="1"/>
  <c r="I341" i="57"/>
  <c r="K341" i="57" s="1"/>
  <c r="I77" i="57"/>
  <c r="K77" i="57" s="1"/>
  <c r="L77" i="57" s="1"/>
  <c r="I138" i="57"/>
  <c r="K138" i="57" s="1"/>
  <c r="L138" i="57" s="1"/>
  <c r="I26" i="57"/>
  <c r="K26" i="57" s="1"/>
  <c r="L26" i="57" s="1"/>
  <c r="I321" i="57"/>
  <c r="K321" i="57" s="1"/>
  <c r="L321" i="57" s="1"/>
  <c r="I248" i="57"/>
  <c r="K248" i="57" s="1"/>
  <c r="L248" i="57" s="1"/>
  <c r="I263" i="57"/>
  <c r="K263" i="57" s="1"/>
  <c r="L263" i="57" s="1"/>
  <c r="I232" i="57"/>
  <c r="K232" i="57" s="1"/>
  <c r="L232" i="57" s="1"/>
  <c r="I84" i="57"/>
  <c r="K84" i="57" s="1"/>
  <c r="L84" i="57" s="1"/>
  <c r="I399" i="57"/>
  <c r="K399" i="57" s="1"/>
  <c r="L399" i="57" s="1"/>
  <c r="I46" i="57"/>
  <c r="K46" i="57" s="1"/>
  <c r="I80" i="57"/>
  <c r="K80" i="57" s="1"/>
  <c r="L80" i="57" s="1"/>
  <c r="I405" i="57"/>
  <c r="K405" i="57" s="1"/>
  <c r="L405" i="57" s="1"/>
  <c r="I387" i="57"/>
  <c r="K387" i="57" s="1"/>
  <c r="L387" i="57" s="1"/>
  <c r="I216" i="57"/>
  <c r="K216" i="57" s="1"/>
  <c r="L216" i="57" s="1"/>
  <c r="I32" i="57"/>
  <c r="K32" i="57" s="1"/>
  <c r="I415" i="57"/>
  <c r="K415" i="57" s="1"/>
  <c r="L415" i="57" s="1"/>
  <c r="I54" i="57"/>
  <c r="K54" i="57" s="1"/>
  <c r="L54" i="57" s="1"/>
  <c r="I134" i="57"/>
  <c r="K134" i="57" s="1"/>
  <c r="L134" i="57" s="1"/>
  <c r="I398" i="57"/>
  <c r="K398" i="57" s="1"/>
  <c r="L398" i="57" s="1"/>
  <c r="I251" i="57"/>
  <c r="K251" i="57" s="1"/>
  <c r="L251" i="57" s="1"/>
  <c r="I397" i="57"/>
  <c r="K397" i="57" s="1"/>
  <c r="I270" i="57"/>
  <c r="K270" i="57" s="1"/>
  <c r="L270" i="57" s="1"/>
  <c r="I261" i="57"/>
  <c r="K261" i="57" s="1"/>
  <c r="L261" i="57" s="1"/>
  <c r="I165" i="57"/>
  <c r="K165" i="57" s="1"/>
  <c r="L165" i="57" s="1"/>
  <c r="I22" i="57"/>
  <c r="K22" i="57" s="1"/>
  <c r="I307" i="57"/>
  <c r="K307" i="57" s="1"/>
  <c r="L307" i="57" s="1"/>
  <c r="I106" i="57"/>
  <c r="K106" i="57" s="1"/>
  <c r="L106" i="57" s="1"/>
  <c r="I81" i="57"/>
  <c r="K81" i="57" s="1"/>
  <c r="L81" i="57" s="1"/>
  <c r="I254" i="57"/>
  <c r="K254" i="57" s="1"/>
  <c r="L254" i="57" s="1"/>
  <c r="I346" i="57"/>
  <c r="K346" i="57" s="1"/>
  <c r="L346" i="57" s="1"/>
  <c r="I207" i="57"/>
  <c r="K207" i="57" s="1"/>
  <c r="L207" i="57" s="1"/>
  <c r="I220" i="57"/>
  <c r="K220" i="57" s="1"/>
  <c r="L220" i="57" s="1"/>
  <c r="I115" i="57"/>
  <c r="K115" i="57" s="1"/>
  <c r="L115" i="57" s="1"/>
  <c r="I384" i="57"/>
  <c r="K384" i="57" s="1"/>
  <c r="I50" i="57"/>
  <c r="K50" i="57" s="1"/>
  <c r="L50" i="57" s="1"/>
  <c r="I14" i="57"/>
  <c r="K14" i="57" s="1"/>
  <c r="L14" i="57" s="1"/>
  <c r="I30" i="57"/>
  <c r="K30" i="57" s="1"/>
  <c r="I314" i="57"/>
  <c r="K314" i="57" s="1"/>
  <c r="I88" i="57"/>
  <c r="K88" i="57" s="1"/>
  <c r="L88" i="57" s="1"/>
  <c r="I208" i="57"/>
  <c r="K208" i="57" s="1"/>
  <c r="L208" i="57" s="1"/>
  <c r="I34" i="57"/>
  <c r="K34" i="57" s="1"/>
  <c r="I127" i="57"/>
  <c r="K127" i="57" s="1"/>
  <c r="I264" i="57"/>
  <c r="K264" i="57" s="1"/>
  <c r="L264" i="57" s="1"/>
  <c r="I135" i="57"/>
  <c r="K135" i="57" s="1"/>
  <c r="L135" i="57" s="1"/>
  <c r="I15" i="57"/>
  <c r="K15" i="57" s="1"/>
  <c r="L15" i="57" s="1"/>
  <c r="I178" i="57"/>
  <c r="K178" i="57" s="1"/>
  <c r="I172" i="57"/>
  <c r="K172" i="57" s="1"/>
  <c r="L172" i="57" s="1"/>
  <c r="I35" i="57"/>
  <c r="K35" i="57" s="1"/>
  <c r="L35" i="57" s="1"/>
  <c r="I11" i="57"/>
  <c r="K11" i="57" s="1"/>
  <c r="I136" i="57"/>
  <c r="K136" i="57" s="1"/>
  <c r="L136" i="57" s="1"/>
  <c r="I55" i="57"/>
  <c r="K55" i="57" s="1"/>
  <c r="L55" i="57" s="1"/>
  <c r="I143" i="57"/>
  <c r="K143" i="57" s="1"/>
  <c r="I233" i="57"/>
  <c r="K233" i="57" s="1"/>
  <c r="L233" i="57" s="1"/>
  <c r="I277" i="57"/>
  <c r="K277" i="57" s="1"/>
  <c r="L277" i="57" s="1"/>
  <c r="I157" i="57"/>
  <c r="K157" i="57" s="1"/>
  <c r="L157" i="57" s="1"/>
  <c r="I28" i="57"/>
  <c r="K28" i="57" s="1"/>
  <c r="L28" i="57" s="1"/>
  <c r="I189" i="57"/>
  <c r="K189" i="57" s="1"/>
  <c r="I175" i="57"/>
  <c r="K175" i="57" s="1"/>
  <c r="I226" i="57"/>
  <c r="K226" i="57" s="1"/>
  <c r="L226" i="57" s="1"/>
  <c r="I404" i="57"/>
  <c r="K404" i="57" s="1"/>
  <c r="L404" i="57" s="1"/>
  <c r="I221" i="57"/>
  <c r="K221" i="57" s="1"/>
  <c r="L221" i="57" s="1"/>
  <c r="I360" i="57"/>
  <c r="K360" i="57" s="1"/>
  <c r="L360" i="57" s="1"/>
  <c r="I60" i="57"/>
  <c r="K60" i="57" s="1"/>
  <c r="L60" i="57" s="1"/>
  <c r="I373" i="57"/>
  <c r="K373" i="57" s="1"/>
  <c r="L373" i="57" s="1"/>
  <c r="I249" i="57"/>
  <c r="K249" i="57" s="1"/>
  <c r="L249" i="57" s="1"/>
  <c r="I388" i="57"/>
  <c r="K388" i="57" s="1"/>
  <c r="L388" i="57" s="1"/>
  <c r="I166" i="57"/>
  <c r="K166" i="57" s="1"/>
  <c r="L166" i="57" s="1"/>
  <c r="I162" i="57"/>
  <c r="K162" i="57" s="1"/>
  <c r="L162" i="57" s="1"/>
  <c r="I329" i="57"/>
  <c r="K329" i="57" s="1"/>
  <c r="L329" i="57" s="1"/>
  <c r="I418" i="57"/>
  <c r="K418" i="57" s="1"/>
  <c r="I100" i="57"/>
  <c r="K100" i="57" s="1"/>
  <c r="L100" i="57" s="1"/>
  <c r="I372" i="57"/>
  <c r="K372" i="57" s="1"/>
  <c r="L372" i="57" s="1"/>
  <c r="I211" i="57"/>
  <c r="K211" i="57" s="1"/>
  <c r="L211" i="57" s="1"/>
  <c r="I155" i="57"/>
  <c r="K155" i="57" s="1"/>
  <c r="L155" i="57" s="1"/>
  <c r="I212" i="57"/>
  <c r="K212" i="57" s="1"/>
  <c r="L212" i="57" s="1"/>
  <c r="I203" i="57"/>
  <c r="K203" i="57" s="1"/>
  <c r="L203" i="57" s="1"/>
  <c r="I161" i="57"/>
  <c r="K161" i="57" s="1"/>
  <c r="L161" i="57" s="1"/>
  <c r="I379" i="57"/>
  <c r="K379" i="57" s="1"/>
  <c r="L379" i="57" s="1"/>
  <c r="I308" i="57"/>
  <c r="K308" i="57" s="1"/>
  <c r="L308" i="57" s="1"/>
  <c r="I265" i="57"/>
  <c r="K265" i="57" s="1"/>
  <c r="L265" i="57" s="1"/>
  <c r="I133" i="57"/>
  <c r="K133" i="57" s="1"/>
  <c r="L133" i="57" s="1"/>
  <c r="I290" i="57"/>
  <c r="K290" i="57" s="1"/>
  <c r="L290" i="57" s="1"/>
  <c r="I363" i="57"/>
  <c r="K363" i="57" s="1"/>
  <c r="I266" i="57"/>
  <c r="K266" i="57" s="1"/>
  <c r="L266" i="57" s="1"/>
  <c r="I256" i="57"/>
  <c r="K256" i="57" s="1"/>
  <c r="L256" i="57" s="1"/>
  <c r="I209" i="57"/>
  <c r="K209" i="57" s="1"/>
  <c r="L209" i="57" s="1"/>
  <c r="I365" i="57"/>
  <c r="K365" i="57" s="1"/>
  <c r="L365" i="57" s="1"/>
  <c r="I389" i="57"/>
  <c r="K389" i="57" s="1"/>
  <c r="L389" i="57" s="1"/>
  <c r="I406" i="57"/>
  <c r="K406" i="57" s="1"/>
  <c r="L406" i="57" s="1"/>
  <c r="I92" i="57"/>
  <c r="K92" i="57" s="1"/>
  <c r="L92" i="57" s="1"/>
  <c r="I27" i="57"/>
  <c r="K27" i="57" s="1"/>
  <c r="L27" i="57" s="1"/>
  <c r="I267" i="57"/>
  <c r="K267" i="57" s="1"/>
  <c r="L267" i="57" s="1"/>
  <c r="I90" i="57"/>
  <c r="K90" i="57" s="1"/>
  <c r="L90" i="57" s="1"/>
  <c r="I409" i="57"/>
  <c r="K409" i="57" s="1"/>
  <c r="I123" i="57"/>
  <c r="K123" i="57" s="1"/>
  <c r="L123" i="57" s="1"/>
  <c r="I303" i="57"/>
  <c r="K303" i="57" s="1"/>
  <c r="L303" i="57" s="1"/>
  <c r="I99" i="57"/>
  <c r="K99" i="57" s="1"/>
  <c r="L99" i="57" s="1"/>
  <c r="I371" i="57"/>
  <c r="K371" i="57" s="1"/>
  <c r="L371" i="57" s="1"/>
  <c r="I195" i="57"/>
  <c r="K195" i="57" s="1"/>
  <c r="I59" i="57"/>
  <c r="K59" i="57" s="1"/>
  <c r="I144" i="57"/>
  <c r="K144" i="57" s="1"/>
  <c r="L144" i="57" s="1"/>
  <c r="I257" i="57"/>
  <c r="K257" i="57" s="1"/>
  <c r="L257" i="57" s="1"/>
  <c r="I237" i="57"/>
  <c r="K237" i="57" s="1"/>
  <c r="L237" i="57" s="1"/>
  <c r="I190" i="57"/>
  <c r="K190" i="57" s="1"/>
  <c r="L190" i="57" s="1"/>
  <c r="I326" i="57"/>
  <c r="K326" i="57" s="1"/>
  <c r="L326" i="57" s="1"/>
  <c r="I280" i="57"/>
  <c r="K280" i="57" s="1"/>
  <c r="L280" i="57" s="1"/>
  <c r="I330" i="57"/>
  <c r="K330" i="57" s="1"/>
  <c r="L330" i="57" s="1"/>
  <c r="I116" i="57"/>
  <c r="K116" i="57" s="1"/>
  <c r="L116" i="57" s="1"/>
  <c r="I63" i="57"/>
  <c r="K63" i="57" s="1"/>
  <c r="I74" i="57"/>
  <c r="K74" i="57" s="1"/>
  <c r="L74" i="57" s="1"/>
  <c r="I234" i="57"/>
  <c r="K234" i="57" s="1"/>
  <c r="L234" i="57" s="1"/>
  <c r="I17" i="57"/>
  <c r="K17" i="57" s="1"/>
  <c r="L17" i="57" s="1"/>
  <c r="I173" i="57"/>
  <c r="K173" i="57" s="1"/>
  <c r="L173" i="57" s="1"/>
  <c r="I289" i="57"/>
  <c r="K289" i="57" s="1"/>
  <c r="L289" i="57" s="1"/>
  <c r="I279" i="57"/>
  <c r="K279" i="57" s="1"/>
  <c r="I285" i="57"/>
  <c r="K285" i="57" s="1"/>
  <c r="L285" i="57" s="1"/>
  <c r="I394" i="57"/>
  <c r="K394" i="57" s="1"/>
  <c r="L394" i="57" s="1"/>
  <c r="I201" i="57"/>
  <c r="K201" i="57" s="1"/>
  <c r="I402" i="57"/>
  <c r="K402" i="57" s="1"/>
  <c r="I82" i="57"/>
  <c r="K82" i="57" s="1"/>
  <c r="L82" i="57" s="1"/>
  <c r="I67" i="57"/>
  <c r="K67" i="57" s="1"/>
  <c r="L67" i="57" s="1"/>
  <c r="I42" i="57"/>
  <c r="K42" i="57" s="1"/>
  <c r="L42" i="57" s="1"/>
  <c r="I83" i="57"/>
  <c r="K83" i="57" s="1"/>
  <c r="L83" i="57" s="1"/>
  <c r="I71" i="57"/>
  <c r="K71" i="57" s="1"/>
  <c r="I72" i="57"/>
  <c r="K72" i="57" s="1"/>
  <c r="L72" i="57" s="1"/>
  <c r="I252" i="57"/>
  <c r="K252" i="57" s="1"/>
  <c r="L252" i="57" s="1"/>
  <c r="I236" i="57"/>
  <c r="K236" i="57" s="1"/>
  <c r="L236" i="57" s="1"/>
  <c r="B5" i="57"/>
  <c r="J156" i="57" l="1"/>
  <c r="J251" i="57"/>
  <c r="L178" i="57"/>
  <c r="I177" i="57"/>
  <c r="K177" i="57" s="1"/>
  <c r="L177" i="57" s="1"/>
  <c r="J134" i="57"/>
  <c r="J296" i="57"/>
  <c r="J376" i="57"/>
  <c r="J98" i="57"/>
  <c r="J101" i="57"/>
  <c r="L87" i="57"/>
  <c r="I86" i="57"/>
  <c r="K86" i="57" s="1"/>
  <c r="L86" i="57" s="1"/>
  <c r="L13" i="57"/>
  <c r="I12" i="57"/>
  <c r="K12" i="57" s="1"/>
  <c r="L12" i="57" s="1"/>
  <c r="J352" i="57"/>
  <c r="J268" i="57"/>
  <c r="J311" i="57"/>
  <c r="J186" i="57"/>
  <c r="L242" i="57"/>
  <c r="I241" i="57"/>
  <c r="K241" i="57" s="1"/>
  <c r="J35" i="57"/>
  <c r="J137" i="57"/>
  <c r="J152" i="57"/>
  <c r="J210" i="57"/>
  <c r="J191" i="57"/>
  <c r="J274" i="57"/>
  <c r="J255" i="57"/>
  <c r="J93" i="57"/>
  <c r="J370" i="57"/>
  <c r="J107" i="57"/>
  <c r="J23" i="57"/>
  <c r="J386" i="57"/>
  <c r="J298" i="57"/>
  <c r="J176" i="57"/>
  <c r="J76" i="57"/>
  <c r="J149" i="57"/>
  <c r="J270" i="57"/>
  <c r="J185" i="57"/>
  <c r="J203" i="57"/>
  <c r="J172" i="57"/>
  <c r="L229" i="57"/>
  <c r="I228" i="57"/>
  <c r="K228" i="57" s="1"/>
  <c r="L228" i="57" s="1"/>
  <c r="J320" i="57"/>
  <c r="J361" i="57"/>
  <c r="J358" i="57"/>
  <c r="L414" i="57"/>
  <c r="I413" i="57"/>
  <c r="K413" i="57" s="1"/>
  <c r="L413" i="57" s="1"/>
  <c r="J244" i="57"/>
  <c r="J328" i="57"/>
  <c r="J110" i="57"/>
  <c r="J231" i="57"/>
  <c r="J225" i="57"/>
  <c r="J197" i="57"/>
  <c r="J232" i="57"/>
  <c r="J360" i="57"/>
  <c r="J394" i="57"/>
  <c r="J406" i="57"/>
  <c r="J221" i="57"/>
  <c r="J115" i="57"/>
  <c r="J248" i="57"/>
  <c r="L164" i="57"/>
  <c r="I163" i="57"/>
  <c r="K163" i="57" s="1"/>
  <c r="L163" i="57" s="1"/>
  <c r="J368" i="57"/>
  <c r="J345" i="57"/>
  <c r="J419" i="57"/>
  <c r="J140" i="57"/>
  <c r="J151" i="57"/>
  <c r="J198" i="57"/>
  <c r="J109" i="57"/>
  <c r="J190" i="57"/>
  <c r="J212" i="57"/>
  <c r="J15" i="57"/>
  <c r="J395" i="57"/>
  <c r="J387" i="57"/>
  <c r="L71" i="57"/>
  <c r="I70" i="57"/>
  <c r="K70" i="57" s="1"/>
  <c r="J123" i="57"/>
  <c r="L409" i="57"/>
  <c r="I408" i="57"/>
  <c r="K408" i="57" s="1"/>
  <c r="L408" i="57" s="1"/>
  <c r="L104" i="57"/>
  <c r="I103" i="57"/>
  <c r="K103" i="57" s="1"/>
  <c r="L103" i="57" s="1"/>
  <c r="L355" i="57"/>
  <c r="I354" i="57"/>
  <c r="K354" i="57" s="1"/>
  <c r="J321" i="57"/>
  <c r="L219" i="57"/>
  <c r="I218" i="57"/>
  <c r="K218" i="57" s="1"/>
  <c r="L218" i="57" s="1"/>
  <c r="J79" i="57"/>
  <c r="J275" i="57"/>
  <c r="J224" i="57"/>
  <c r="J302" i="57"/>
  <c r="L392" i="57"/>
  <c r="I391" i="57"/>
  <c r="K391" i="57" s="1"/>
  <c r="J204" i="57"/>
  <c r="J102" i="57"/>
  <c r="J155" i="57"/>
  <c r="J135" i="57"/>
  <c r="J264" i="57"/>
  <c r="L127" i="57"/>
  <c r="I126" i="57"/>
  <c r="K126" i="57" s="1"/>
  <c r="L34" i="57"/>
  <c r="I33" i="57"/>
  <c r="K33" i="57" s="1"/>
  <c r="L33" i="57" s="1"/>
  <c r="J303" i="57"/>
  <c r="J80" i="57"/>
  <c r="I313" i="57"/>
  <c r="K313" i="57" s="1"/>
  <c r="L314" i="57"/>
  <c r="J90" i="57"/>
  <c r="J14" i="57"/>
  <c r="J27" i="57"/>
  <c r="J92" i="57"/>
  <c r="J26" i="57"/>
  <c r="J114" i="57"/>
  <c r="J146" i="57"/>
  <c r="J331" i="57"/>
  <c r="J213" i="57"/>
  <c r="J310" i="57"/>
  <c r="J381" i="57"/>
  <c r="J245" i="57"/>
  <c r="J326" i="57"/>
  <c r="L52" i="57"/>
  <c r="I51" i="57"/>
  <c r="K51" i="57" s="1"/>
  <c r="L51" i="57" s="1"/>
  <c r="J145" i="57"/>
  <c r="J236" i="57"/>
  <c r="J216" i="57"/>
  <c r="J150" i="57"/>
  <c r="J388" i="57"/>
  <c r="J344" i="57"/>
  <c r="J148" i="57"/>
  <c r="J306" i="57"/>
  <c r="J182" i="57"/>
  <c r="L300" i="57"/>
  <c r="I299" i="57"/>
  <c r="K299" i="57" s="1"/>
  <c r="L299" i="57" s="1"/>
  <c r="J222" i="57"/>
  <c r="J327" i="57"/>
  <c r="L41" i="57"/>
  <c r="I40" i="57"/>
  <c r="K40" i="57" s="1"/>
  <c r="L40" i="57" s="1"/>
  <c r="J246" i="57"/>
  <c r="J117" i="57"/>
  <c r="J398" i="57"/>
  <c r="J144" i="57"/>
  <c r="J372" i="57"/>
  <c r="J100" i="57"/>
  <c r="J252" i="57"/>
  <c r="J329" i="57"/>
  <c r="J162" i="57"/>
  <c r="J88" i="57"/>
  <c r="I45" i="57"/>
  <c r="K45" i="57" s="1"/>
  <c r="L45" i="57" s="1"/>
  <c r="L46" i="57"/>
  <c r="J67" i="57"/>
  <c r="J84" i="57"/>
  <c r="J60" i="57"/>
  <c r="L201" i="57"/>
  <c r="I200" i="57"/>
  <c r="K200" i="57" s="1"/>
  <c r="J173" i="57"/>
  <c r="J130" i="57"/>
  <c r="J214" i="57"/>
  <c r="L39" i="57"/>
  <c r="I38" i="57"/>
  <c r="K38" i="57" s="1"/>
  <c r="J339" i="57"/>
  <c r="J129" i="57"/>
  <c r="J260" i="57"/>
  <c r="J283" i="57"/>
  <c r="J96" i="57"/>
  <c r="J237" i="57"/>
  <c r="J269" i="57"/>
  <c r="I411" i="57"/>
  <c r="K411" i="57" s="1"/>
  <c r="L411" i="57" s="1"/>
  <c r="L412" i="57"/>
  <c r="J184" i="57"/>
  <c r="J208" i="57"/>
  <c r="L65" i="57"/>
  <c r="I64" i="57"/>
  <c r="K64" i="57" s="1"/>
  <c r="L64" i="57" s="1"/>
  <c r="L181" i="57"/>
  <c r="I180" i="57"/>
  <c r="K180" i="57" s="1"/>
  <c r="L180" i="57" s="1"/>
  <c r="J351" i="57"/>
  <c r="J284" i="57"/>
  <c r="J379" i="57"/>
  <c r="L25" i="57"/>
  <c r="I24" i="57"/>
  <c r="K24" i="57" s="1"/>
  <c r="L24" i="57" s="1"/>
  <c r="L397" i="57"/>
  <c r="I396" i="57"/>
  <c r="K396" i="57" s="1"/>
  <c r="L396" i="57" s="1"/>
  <c r="J97" i="57"/>
  <c r="J196" i="57"/>
  <c r="J257" i="57"/>
  <c r="J54" i="57"/>
  <c r="J415" i="57"/>
  <c r="L195" i="57"/>
  <c r="I194" i="57"/>
  <c r="K194" i="57" s="1"/>
  <c r="L194" i="57" s="1"/>
  <c r="J160" i="57"/>
  <c r="I292" i="57"/>
  <c r="K292" i="57" s="1"/>
  <c r="L292" i="57" s="1"/>
  <c r="L293" i="57"/>
  <c r="L349" i="57"/>
  <c r="I348" i="57"/>
  <c r="K348" i="57" s="1"/>
  <c r="J16" i="57"/>
  <c r="J239" i="57"/>
  <c r="J243" i="57"/>
  <c r="I29" i="57"/>
  <c r="K29" i="57" s="1"/>
  <c r="L29" i="57" s="1"/>
  <c r="L30" i="57"/>
  <c r="J82" i="57"/>
  <c r="J350" i="57"/>
  <c r="J403" i="57"/>
  <c r="J332" i="57"/>
  <c r="J220" i="57"/>
  <c r="J289" i="57"/>
  <c r="J254" i="57"/>
  <c r="J81" i="57"/>
  <c r="L112" i="57"/>
  <c r="I111" i="57"/>
  <c r="K111" i="57" s="1"/>
  <c r="L111" i="57" s="1"/>
  <c r="J234" i="57"/>
  <c r="L363" i="57"/>
  <c r="I362" i="57"/>
  <c r="K362" i="57" s="1"/>
  <c r="L362" i="57" s="1"/>
  <c r="J157" i="57"/>
  <c r="J106" i="57"/>
  <c r="I192" i="57"/>
  <c r="K192" i="57" s="1"/>
  <c r="L192" i="57" s="1"/>
  <c r="L193" i="57"/>
  <c r="L318" i="57"/>
  <c r="I317" i="57"/>
  <c r="K317" i="57" s="1"/>
  <c r="L317" i="57" s="1"/>
  <c r="L19" i="57"/>
  <c r="I18" i="57"/>
  <c r="K18" i="57" s="1"/>
  <c r="L18" i="57" s="1"/>
  <c r="J281" i="57"/>
  <c r="J325" i="57"/>
  <c r="J273" i="57"/>
  <c r="J297" i="57"/>
  <c r="J333" i="57"/>
  <c r="J136" i="57"/>
  <c r="J276" i="57"/>
  <c r="L316" i="57"/>
  <c r="I315" i="57"/>
  <c r="K315" i="57" s="1"/>
  <c r="L315" i="57" s="1"/>
  <c r="J202" i="57"/>
  <c r="J211" i="57"/>
  <c r="J223" i="57"/>
  <c r="I31" i="57"/>
  <c r="K31" i="57" s="1"/>
  <c r="L31" i="57" s="1"/>
  <c r="L32" i="57"/>
  <c r="J309" i="57"/>
  <c r="J91" i="57"/>
  <c r="J405" i="57"/>
  <c r="J83" i="57"/>
  <c r="J342" i="57"/>
  <c r="J359" i="57"/>
  <c r="J249" i="57"/>
  <c r="J267" i="57"/>
  <c r="J75" i="57"/>
  <c r="L375" i="57"/>
  <c r="I374" i="57"/>
  <c r="K374" i="57" s="1"/>
  <c r="L374" i="57" s="1"/>
  <c r="J263" i="57"/>
  <c r="J404" i="57"/>
  <c r="L279" i="57"/>
  <c r="I278" i="57"/>
  <c r="K278" i="57" s="1"/>
  <c r="L278" i="57" s="1"/>
  <c r="J346" i="57"/>
  <c r="J77" i="57"/>
  <c r="L341" i="57"/>
  <c r="I340" i="57"/>
  <c r="K340" i="57" s="1"/>
  <c r="L340" i="57" s="1"/>
  <c r="J128" i="57"/>
  <c r="J74" i="57"/>
  <c r="J290" i="57"/>
  <c r="J277" i="57"/>
  <c r="J307" i="57"/>
  <c r="J357" i="57"/>
  <c r="J89" i="57"/>
  <c r="J380" i="57"/>
  <c r="J343" i="57"/>
  <c r="J238" i="57"/>
  <c r="L132" i="57"/>
  <c r="I131" i="57"/>
  <c r="K131" i="57" s="1"/>
  <c r="L131" i="57" s="1"/>
  <c r="J364" i="57"/>
  <c r="J334" i="57"/>
  <c r="J369" i="57"/>
  <c r="J161" i="57"/>
  <c r="J385" i="57"/>
  <c r="J20" i="57"/>
  <c r="L49" i="57"/>
  <c r="I48" i="57"/>
  <c r="K48" i="57" s="1"/>
  <c r="L59" i="57"/>
  <c r="I58" i="57"/>
  <c r="K58" i="57" s="1"/>
  <c r="L58" i="57" s="1"/>
  <c r="J217" i="57"/>
  <c r="J158" i="57"/>
  <c r="L418" i="57"/>
  <c r="I417" i="57"/>
  <c r="K417" i="57" s="1"/>
  <c r="L417" i="57" s="1"/>
  <c r="J72" i="57"/>
  <c r="J215" i="57"/>
  <c r="J124" i="57"/>
  <c r="J166" i="57"/>
  <c r="J42" i="57"/>
  <c r="J262" i="57"/>
  <c r="J227" i="57"/>
  <c r="J367" i="57"/>
  <c r="L402" i="57"/>
  <c r="I401" i="57"/>
  <c r="K401" i="57" s="1"/>
  <c r="L401" i="57" s="1"/>
  <c r="J159" i="57"/>
  <c r="J122" i="57"/>
  <c r="J365" i="57"/>
  <c r="J209" i="57"/>
  <c r="J256" i="57"/>
  <c r="J266" i="57"/>
  <c r="J366" i="57"/>
  <c r="I62" i="57"/>
  <c r="K62" i="57" s="1"/>
  <c r="L62" i="57" s="1"/>
  <c r="L63" i="57"/>
  <c r="J133" i="57"/>
  <c r="J233" i="57"/>
  <c r="L22" i="57"/>
  <c r="I21" i="57"/>
  <c r="K21" i="57" s="1"/>
  <c r="L21" i="57" s="1"/>
  <c r="L259" i="57"/>
  <c r="I258" i="57"/>
  <c r="K258" i="57" s="1"/>
  <c r="L258" i="57" s="1"/>
  <c r="J356" i="57"/>
  <c r="J416" i="57"/>
  <c r="L324" i="57"/>
  <c r="I323" i="57"/>
  <c r="K323" i="57" s="1"/>
  <c r="L305" i="57"/>
  <c r="I304" i="57"/>
  <c r="K304" i="57" s="1"/>
  <c r="L304" i="57" s="1"/>
  <c r="J73" i="57"/>
  <c r="J68" i="57"/>
  <c r="J377" i="57"/>
  <c r="J280" i="57"/>
  <c r="J291" i="57"/>
  <c r="L287" i="57"/>
  <c r="I286" i="57"/>
  <c r="K286" i="57" s="1"/>
  <c r="L286" i="57" s="1"/>
  <c r="J282" i="57"/>
  <c r="J230" i="57"/>
  <c r="L154" i="57"/>
  <c r="I153" i="57"/>
  <c r="K153" i="57" s="1"/>
  <c r="L153" i="57" s="1"/>
  <c r="J179" i="57"/>
  <c r="L295" i="57"/>
  <c r="I294" i="57"/>
  <c r="K294" i="57" s="1"/>
  <c r="L294" i="57" s="1"/>
  <c r="J410" i="57"/>
  <c r="L338" i="57"/>
  <c r="I337" i="57"/>
  <c r="K337" i="57" s="1"/>
  <c r="L337" i="57" s="1"/>
  <c r="L44" i="57"/>
  <c r="I43" i="57"/>
  <c r="K43" i="57" s="1"/>
  <c r="L43" i="57" s="1"/>
  <c r="J235" i="57"/>
  <c r="J108" i="57"/>
  <c r="J399" i="57"/>
  <c r="J373" i="57"/>
  <c r="J206" i="57"/>
  <c r="J319" i="57"/>
  <c r="L384" i="57"/>
  <c r="I383" i="57"/>
  <c r="K383" i="57" s="1"/>
  <c r="L383" i="57" s="1"/>
  <c r="J389" i="57"/>
  <c r="J226" i="57"/>
  <c r="J138" i="57"/>
  <c r="J17" i="57"/>
  <c r="J183" i="57"/>
  <c r="J407" i="57"/>
  <c r="J116" i="57"/>
  <c r="J265" i="57"/>
  <c r="L143" i="57"/>
  <c r="I142" i="57"/>
  <c r="K142" i="57" s="1"/>
  <c r="J165" i="57"/>
  <c r="J253" i="57"/>
  <c r="J95" i="57"/>
  <c r="L169" i="57"/>
  <c r="I168" i="57"/>
  <c r="K168" i="57" s="1"/>
  <c r="J139" i="57"/>
  <c r="J147" i="57"/>
  <c r="L57" i="57"/>
  <c r="I56" i="57"/>
  <c r="K56" i="57" s="1"/>
  <c r="L56" i="57" s="1"/>
  <c r="J272" i="57"/>
  <c r="J378" i="57"/>
  <c r="J205" i="57"/>
  <c r="L11" i="57"/>
  <c r="I10" i="57"/>
  <c r="K10" i="57" s="1"/>
  <c r="J171" i="57"/>
  <c r="J78" i="57"/>
  <c r="J94" i="57"/>
  <c r="J247" i="57"/>
  <c r="J336" i="57"/>
  <c r="J371" i="57"/>
  <c r="J99" i="57"/>
  <c r="J301" i="57"/>
  <c r="J61" i="57"/>
  <c r="J53" i="57"/>
  <c r="J66" i="57"/>
  <c r="J400" i="57"/>
  <c r="J105" i="57"/>
  <c r="J50" i="57"/>
  <c r="J250" i="57"/>
  <c r="J285" i="57"/>
  <c r="J207" i="57"/>
  <c r="L175" i="57"/>
  <c r="I174" i="57"/>
  <c r="K174" i="57" s="1"/>
  <c r="L174" i="57" s="1"/>
  <c r="L189" i="57"/>
  <c r="I188" i="57"/>
  <c r="K188" i="57" s="1"/>
  <c r="J28" i="57"/>
  <c r="J335" i="57"/>
  <c r="J330" i="57"/>
  <c r="J308" i="57"/>
  <c r="J55" i="57"/>
  <c r="J261" i="57"/>
  <c r="J85" i="57"/>
  <c r="J170" i="57"/>
  <c r="L121" i="57"/>
  <c r="I120" i="57"/>
  <c r="K120" i="57" s="1"/>
  <c r="J113" i="57"/>
  <c r="J271" i="57"/>
  <c r="J382" i="57"/>
  <c r="J288" i="57"/>
  <c r="J393" i="57"/>
  <c r="I424" i="57"/>
  <c r="K424" i="57" s="1"/>
  <c r="I422" i="57"/>
  <c r="K422" i="57" s="1"/>
  <c r="E18" i="58" l="1"/>
  <c r="C37" i="59" s="1"/>
  <c r="F38" i="59" s="1"/>
  <c r="E17" i="58"/>
  <c r="C34" i="59" s="1"/>
  <c r="G35" i="59" s="1"/>
  <c r="H310" i="57"/>
  <c r="H405" i="57"/>
  <c r="H281" i="57"/>
  <c r="H403" i="57"/>
  <c r="H196" i="57"/>
  <c r="H182" i="57"/>
  <c r="H264" i="57"/>
  <c r="J408" i="57"/>
  <c r="J409" i="57"/>
  <c r="H368" i="57"/>
  <c r="H244" i="57"/>
  <c r="H311" i="57"/>
  <c r="L126" i="57"/>
  <c r="I125" i="57"/>
  <c r="K125" i="57" s="1"/>
  <c r="L125" i="57" s="1"/>
  <c r="H186" i="57"/>
  <c r="H261" i="57"/>
  <c r="H161" i="57"/>
  <c r="H213" i="57"/>
  <c r="H128" i="57"/>
  <c r="H369" i="57"/>
  <c r="J163" i="57"/>
  <c r="J164" i="57"/>
  <c r="H42" i="57"/>
  <c r="H146" i="57"/>
  <c r="H93" i="57"/>
  <c r="J131" i="57"/>
  <c r="J132" i="57"/>
  <c r="H157" i="57"/>
  <c r="L38" i="57"/>
  <c r="I37" i="57"/>
  <c r="K37" i="57" s="1"/>
  <c r="H150" i="57"/>
  <c r="L391" i="57"/>
  <c r="I390" i="57"/>
  <c r="K390" i="57" s="1"/>
  <c r="L390" i="57" s="1"/>
  <c r="H101" i="57"/>
  <c r="H17" i="57"/>
  <c r="J414" i="57"/>
  <c r="J413" i="57"/>
  <c r="H61" i="57"/>
  <c r="H155" i="57"/>
  <c r="H282" i="57"/>
  <c r="H26" i="57"/>
  <c r="H223" i="57"/>
  <c r="H372" i="57"/>
  <c r="H72" i="57"/>
  <c r="H263" i="57"/>
  <c r="H202" i="57"/>
  <c r="H16" i="57"/>
  <c r="H144" i="57"/>
  <c r="H302" i="57"/>
  <c r="H237" i="57"/>
  <c r="J300" i="57"/>
  <c r="J299" i="57"/>
  <c r="H138" i="57"/>
  <c r="H23" i="57"/>
  <c r="H352" i="57"/>
  <c r="H370" i="57"/>
  <c r="J63" i="57"/>
  <c r="J62" i="57"/>
  <c r="H98" i="57"/>
  <c r="H247" i="57"/>
  <c r="H380" i="57"/>
  <c r="J181" i="57"/>
  <c r="J180" i="57"/>
  <c r="H398" i="57"/>
  <c r="H14" i="57"/>
  <c r="H224" i="57"/>
  <c r="H190" i="57"/>
  <c r="H360" i="57"/>
  <c r="H203" i="57"/>
  <c r="H191" i="57"/>
  <c r="H376" i="57"/>
  <c r="H400" i="57"/>
  <c r="H356" i="57"/>
  <c r="H325" i="57"/>
  <c r="H179" i="57"/>
  <c r="H91" i="57"/>
  <c r="H123" i="57"/>
  <c r="H309" i="57"/>
  <c r="H358" i="57"/>
  <c r="H389" i="57"/>
  <c r="J318" i="57"/>
  <c r="J317" i="57"/>
  <c r="H248" i="57"/>
  <c r="H364" i="57"/>
  <c r="H129" i="57"/>
  <c r="H387" i="57"/>
  <c r="J279" i="57"/>
  <c r="J278" i="57"/>
  <c r="H28" i="57"/>
  <c r="H406" i="57"/>
  <c r="H266" i="57"/>
  <c r="H280" i="57"/>
  <c r="J363" i="57"/>
  <c r="J362" i="57"/>
  <c r="H216" i="57"/>
  <c r="H165" i="57"/>
  <c r="J175" i="57"/>
  <c r="J174" i="57"/>
  <c r="H399" i="57"/>
  <c r="H377" i="57"/>
  <c r="H256" i="57"/>
  <c r="J417" i="57"/>
  <c r="J418" i="57"/>
  <c r="J375" i="57"/>
  <c r="J374" i="57"/>
  <c r="J315" i="57"/>
  <c r="J316" i="57"/>
  <c r="J349" i="57"/>
  <c r="J348" i="57"/>
  <c r="H94" i="57"/>
  <c r="L142" i="57"/>
  <c r="I141" i="57"/>
  <c r="K141" i="57" s="1"/>
  <c r="L141" i="57" s="1"/>
  <c r="H158" i="57"/>
  <c r="J292" i="57"/>
  <c r="J293" i="57"/>
  <c r="H117" i="57"/>
  <c r="H296" i="57"/>
  <c r="J46" i="57"/>
  <c r="J45" i="57"/>
  <c r="J295" i="57"/>
  <c r="J294" i="57"/>
  <c r="H257" i="57"/>
  <c r="H96" i="57"/>
  <c r="H272" i="57"/>
  <c r="J57" i="57"/>
  <c r="J56" i="57"/>
  <c r="H306" i="57"/>
  <c r="H329" i="57"/>
  <c r="H260" i="57"/>
  <c r="H133" i="57"/>
  <c r="H344" i="57"/>
  <c r="J287" i="57"/>
  <c r="J286" i="57"/>
  <c r="H388" i="57"/>
  <c r="H215" i="57"/>
  <c r="H394" i="57"/>
  <c r="H288" i="57"/>
  <c r="J143" i="57"/>
  <c r="J142" i="57"/>
  <c r="H89" i="57"/>
  <c r="H75" i="57"/>
  <c r="H276" i="57"/>
  <c r="J112" i="57"/>
  <c r="J111" i="57"/>
  <c r="J65" i="57"/>
  <c r="J64" i="57"/>
  <c r="H173" i="57"/>
  <c r="H145" i="57"/>
  <c r="H90" i="57"/>
  <c r="H275" i="57"/>
  <c r="H109" i="57"/>
  <c r="H232" i="57"/>
  <c r="H185" i="57"/>
  <c r="H210" i="57"/>
  <c r="H162" i="57"/>
  <c r="J22" i="57"/>
  <c r="J21" i="57"/>
  <c r="H147" i="57"/>
  <c r="H330" i="57"/>
  <c r="H114" i="57"/>
  <c r="H252" i="57"/>
  <c r="H100" i="57"/>
  <c r="H99" i="57"/>
  <c r="H339" i="57"/>
  <c r="H206" i="57"/>
  <c r="H92" i="57"/>
  <c r="H365" i="57"/>
  <c r="H136" i="57"/>
  <c r="H160" i="57"/>
  <c r="H208" i="57"/>
  <c r="L200" i="57"/>
  <c r="I199" i="57"/>
  <c r="K199" i="57" s="1"/>
  <c r="L199" i="57" s="1"/>
  <c r="J313" i="57"/>
  <c r="J314" i="57"/>
  <c r="H198" i="57"/>
  <c r="H55" i="57"/>
  <c r="H331" i="57"/>
  <c r="J18" i="57"/>
  <c r="J19" i="57"/>
  <c r="H82" i="57"/>
  <c r="J13" i="57"/>
  <c r="J12" i="57"/>
  <c r="H204" i="57"/>
  <c r="H211" i="57"/>
  <c r="H79" i="57"/>
  <c r="H270" i="57"/>
  <c r="H152" i="57"/>
  <c r="H134" i="57"/>
  <c r="H328" i="57"/>
  <c r="H85" i="57"/>
  <c r="H386" i="57"/>
  <c r="H283" i="57"/>
  <c r="H301" i="57"/>
  <c r="J193" i="57"/>
  <c r="J192" i="57"/>
  <c r="H253" i="57"/>
  <c r="H149" i="57"/>
  <c r="H137" i="57"/>
  <c r="H53" i="57"/>
  <c r="H135" i="57"/>
  <c r="H77" i="57"/>
  <c r="H107" i="57"/>
  <c r="J30" i="57"/>
  <c r="J29" i="57"/>
  <c r="H346" i="57"/>
  <c r="H115" i="57"/>
  <c r="H106" i="57"/>
  <c r="J169" i="57"/>
  <c r="J168" i="57"/>
  <c r="H243" i="57"/>
  <c r="H221" i="57"/>
  <c r="H371" i="57"/>
  <c r="H239" i="57"/>
  <c r="J229" i="57"/>
  <c r="J228" i="57"/>
  <c r="H336" i="57"/>
  <c r="H393" i="57"/>
  <c r="H214" i="57"/>
  <c r="H172" i="57"/>
  <c r="L348" i="57"/>
  <c r="H108" i="57"/>
  <c r="H235" i="57"/>
  <c r="H285" i="57"/>
  <c r="H357" i="57"/>
  <c r="J200" i="57"/>
  <c r="J201" i="57"/>
  <c r="H246" i="57"/>
  <c r="H326" i="57"/>
  <c r="H113" i="57"/>
  <c r="H250" i="57"/>
  <c r="H116" i="57"/>
  <c r="J44" i="57"/>
  <c r="J43" i="57"/>
  <c r="J305" i="57"/>
  <c r="J304" i="57"/>
  <c r="H122" i="57"/>
  <c r="J58" i="57"/>
  <c r="J59" i="57"/>
  <c r="H307" i="57"/>
  <c r="H249" i="57"/>
  <c r="H333" i="57"/>
  <c r="H254" i="57"/>
  <c r="J195" i="57"/>
  <c r="J194" i="57"/>
  <c r="H184" i="57"/>
  <c r="H60" i="57"/>
  <c r="J41" i="57"/>
  <c r="J40" i="57"/>
  <c r="H80" i="57"/>
  <c r="J219" i="57"/>
  <c r="J218" i="57"/>
  <c r="H151" i="57"/>
  <c r="H225" i="57"/>
  <c r="J178" i="57"/>
  <c r="J177" i="57"/>
  <c r="H378" i="57"/>
  <c r="H83" i="57"/>
  <c r="J126" i="57"/>
  <c r="J127" i="57"/>
  <c r="J259" i="57"/>
  <c r="J258" i="57"/>
  <c r="H268" i="57"/>
  <c r="H226" i="57"/>
  <c r="H148" i="57"/>
  <c r="J384" i="57"/>
  <c r="J383" i="57"/>
  <c r="H166" i="57"/>
  <c r="J25" i="57"/>
  <c r="J24" i="57"/>
  <c r="H124" i="57"/>
  <c r="J87" i="57"/>
  <c r="J86" i="57"/>
  <c r="H238" i="57"/>
  <c r="H255" i="57"/>
  <c r="H343" i="57"/>
  <c r="H351" i="57"/>
  <c r="H212" i="57"/>
  <c r="H207" i="57"/>
  <c r="H78" i="57"/>
  <c r="H267" i="57"/>
  <c r="J52" i="57"/>
  <c r="J51" i="57"/>
  <c r="L10" i="57"/>
  <c r="I9" i="57"/>
  <c r="K9" i="57" s="1"/>
  <c r="L9" i="57" s="1"/>
  <c r="H407" i="57"/>
  <c r="L323" i="57"/>
  <c r="I322" i="57"/>
  <c r="K322" i="57" s="1"/>
  <c r="L322" i="57" s="1"/>
  <c r="L48" i="57"/>
  <c r="I47" i="57"/>
  <c r="K47" i="57" s="1"/>
  <c r="L47" i="57" s="1"/>
  <c r="H297" i="57"/>
  <c r="J411" i="57"/>
  <c r="J412" i="57"/>
  <c r="H84" i="57"/>
  <c r="H367" i="57"/>
  <c r="H74" i="57"/>
  <c r="H298" i="57"/>
  <c r="H227" i="57"/>
  <c r="H262" i="57"/>
  <c r="H97" i="57"/>
  <c r="J341" i="57"/>
  <c r="J340" i="57"/>
  <c r="H233" i="57"/>
  <c r="H230" i="57"/>
  <c r="J397" i="57"/>
  <c r="J396" i="57"/>
  <c r="H102" i="57"/>
  <c r="H335" i="57"/>
  <c r="H319" i="57"/>
  <c r="H379" i="57"/>
  <c r="H395" i="57"/>
  <c r="H95" i="57"/>
  <c r="H404" i="57"/>
  <c r="J39" i="57"/>
  <c r="J38" i="57"/>
  <c r="J391" i="57"/>
  <c r="J392" i="57"/>
  <c r="J189" i="57"/>
  <c r="J188" i="57"/>
  <c r="H27" i="57"/>
  <c r="H271" i="57"/>
  <c r="H73" i="57"/>
  <c r="H81" i="57"/>
  <c r="L313" i="57"/>
  <c r="I312" i="57"/>
  <c r="K312" i="57" s="1"/>
  <c r="L312" i="57" s="1"/>
  <c r="J120" i="57"/>
  <c r="J121" i="57"/>
  <c r="H50" i="57"/>
  <c r="J11" i="57"/>
  <c r="J10" i="57"/>
  <c r="J338" i="57"/>
  <c r="J337" i="57"/>
  <c r="J323" i="57"/>
  <c r="J324" i="57"/>
  <c r="H159" i="57"/>
  <c r="J49" i="57"/>
  <c r="J48" i="57"/>
  <c r="H277" i="57"/>
  <c r="H359" i="57"/>
  <c r="H289" i="57"/>
  <c r="H415" i="57"/>
  <c r="H327" i="57"/>
  <c r="H245" i="57"/>
  <c r="H303" i="57"/>
  <c r="H321" i="57"/>
  <c r="H140" i="57"/>
  <c r="H231" i="57"/>
  <c r="H76" i="57"/>
  <c r="H35" i="57"/>
  <c r="H251" i="57"/>
  <c r="H345" i="57"/>
  <c r="H66" i="57"/>
  <c r="H88" i="57"/>
  <c r="H234" i="57"/>
  <c r="H130" i="57"/>
  <c r="H236" i="57"/>
  <c r="H68" i="57"/>
  <c r="H217" i="57"/>
  <c r="H171" i="57"/>
  <c r="H170" i="57"/>
  <c r="H105" i="57"/>
  <c r="H410" i="57"/>
  <c r="H416" i="57"/>
  <c r="H20" i="57"/>
  <c r="L354" i="57"/>
  <c r="I353" i="57"/>
  <c r="K353" i="57" s="1"/>
  <c r="L353" i="57" s="1"/>
  <c r="L241" i="57"/>
  <c r="H332" i="57"/>
  <c r="H385" i="57"/>
  <c r="J104" i="57"/>
  <c r="J103" i="57"/>
  <c r="J154" i="57"/>
  <c r="J153" i="57"/>
  <c r="H350" i="57"/>
  <c r="L70" i="57"/>
  <c r="I69" i="57"/>
  <c r="K69" i="57" s="1"/>
  <c r="L69" i="57" s="1"/>
  <c r="H308" i="57"/>
  <c r="H334" i="57"/>
  <c r="J71" i="57"/>
  <c r="J70" i="57"/>
  <c r="H139" i="57"/>
  <c r="J32" i="57"/>
  <c r="J31" i="57"/>
  <c r="H361" i="57"/>
  <c r="L168" i="57"/>
  <c r="H320" i="57"/>
  <c r="H366" i="57"/>
  <c r="H291" i="57"/>
  <c r="H284" i="57"/>
  <c r="H15" i="57"/>
  <c r="L188" i="57"/>
  <c r="I187" i="57"/>
  <c r="K187" i="57" s="1"/>
  <c r="L187" i="57" s="1"/>
  <c r="H373" i="57"/>
  <c r="H274" i="57"/>
  <c r="H382" i="57"/>
  <c r="H209" i="57"/>
  <c r="H265" i="57"/>
  <c r="H197" i="57"/>
  <c r="L120" i="57"/>
  <c r="H205" i="57"/>
  <c r="H183" i="57"/>
  <c r="J402" i="57"/>
  <c r="J401" i="57"/>
  <c r="H290" i="57"/>
  <c r="H342" i="57"/>
  <c r="H273" i="57"/>
  <c r="H220" i="57"/>
  <c r="H54" i="57"/>
  <c r="H269" i="57"/>
  <c r="H67" i="57"/>
  <c r="H222" i="57"/>
  <c r="H381" i="57"/>
  <c r="J34" i="57"/>
  <c r="J33" i="57"/>
  <c r="J355" i="57"/>
  <c r="J354" i="57"/>
  <c r="H419" i="57"/>
  <c r="H110" i="57"/>
  <c r="H176" i="57"/>
  <c r="J242" i="57"/>
  <c r="J241" i="57"/>
  <c r="H156" i="57"/>
  <c r="I421" i="57"/>
  <c r="K421" i="57" s="1"/>
  <c r="L422" i="57"/>
  <c r="I423" i="57"/>
  <c r="K423" i="57" s="1"/>
  <c r="L423" i="57" s="1"/>
  <c r="L424" i="57"/>
  <c r="G38" i="59" l="1"/>
  <c r="E38" i="59"/>
  <c r="J38" i="59"/>
  <c r="I38" i="59"/>
  <c r="H38" i="59"/>
  <c r="M36" i="59" s="1"/>
  <c r="J35" i="59"/>
  <c r="E35" i="59"/>
  <c r="I35" i="59"/>
  <c r="F35" i="59"/>
  <c r="H35" i="59"/>
  <c r="I167" i="57"/>
  <c r="K167" i="57" s="1"/>
  <c r="L167" i="57" s="1"/>
  <c r="J347" i="57"/>
  <c r="E13" i="58"/>
  <c r="C22" i="59" s="1"/>
  <c r="I23" i="59" s="1"/>
  <c r="J37" i="57"/>
  <c r="J322" i="57"/>
  <c r="E9" i="58"/>
  <c r="C10" i="59" s="1"/>
  <c r="F11" i="59" s="1"/>
  <c r="J167" i="57"/>
  <c r="J47" i="57"/>
  <c r="J9" i="57"/>
  <c r="J187" i="57"/>
  <c r="J312" i="57"/>
  <c r="J125" i="57"/>
  <c r="E11" i="58"/>
  <c r="C16" i="59" s="1"/>
  <c r="G17" i="59" s="1"/>
  <c r="J141" i="57"/>
  <c r="E14" i="58"/>
  <c r="C25" i="59" s="1"/>
  <c r="E26" i="59" s="1"/>
  <c r="J69" i="57"/>
  <c r="J199" i="57"/>
  <c r="J390" i="57"/>
  <c r="I119" i="57"/>
  <c r="K119" i="57" s="1"/>
  <c r="L119" i="57" s="1"/>
  <c r="I240" i="57"/>
  <c r="K240" i="57" s="1"/>
  <c r="L240" i="57" s="1"/>
  <c r="H121" i="57"/>
  <c r="H22" i="57"/>
  <c r="H355" i="57"/>
  <c r="H259" i="57"/>
  <c r="H57" i="57"/>
  <c r="H349" i="57"/>
  <c r="H181" i="57"/>
  <c r="H316" i="57"/>
  <c r="L37" i="57"/>
  <c r="I36" i="57"/>
  <c r="K36" i="57" s="1"/>
  <c r="L36" i="57" s="1"/>
  <c r="J119" i="57"/>
  <c r="H87" i="57"/>
  <c r="H71" i="57"/>
  <c r="H19" i="57"/>
  <c r="H392" i="57"/>
  <c r="I347" i="57"/>
  <c r="K347" i="57" s="1"/>
  <c r="L347" i="57" s="1"/>
  <c r="H418" i="57"/>
  <c r="H63" i="57"/>
  <c r="H25" i="57"/>
  <c r="H341" i="57"/>
  <c r="H287" i="57"/>
  <c r="H164" i="57"/>
  <c r="H195" i="57"/>
  <c r="H375" i="57"/>
  <c r="H409" i="57"/>
  <c r="H46" i="57"/>
  <c r="H193" i="57"/>
  <c r="H52" i="57"/>
  <c r="H305" i="57"/>
  <c r="H30" i="57"/>
  <c r="H293" i="57"/>
  <c r="H175" i="57"/>
  <c r="H65" i="57"/>
  <c r="H318" i="57"/>
  <c r="H132" i="57"/>
  <c r="H338" i="57"/>
  <c r="H44" i="57"/>
  <c r="H300" i="57"/>
  <c r="H34" i="57"/>
  <c r="H412" i="57"/>
  <c r="H32" i="57"/>
  <c r="H279" i="57"/>
  <c r="H154" i="57"/>
  <c r="H414" i="57"/>
  <c r="H127" i="57"/>
  <c r="H11" i="57"/>
  <c r="H41" i="57"/>
  <c r="H314" i="57"/>
  <c r="H201" i="57"/>
  <c r="H242" i="57"/>
  <c r="H39" i="57"/>
  <c r="H112" i="57"/>
  <c r="H143" i="57"/>
  <c r="H295" i="57"/>
  <c r="H59" i="57"/>
  <c r="H13" i="57"/>
  <c r="H49" i="57"/>
  <c r="H219" i="57"/>
  <c r="H402" i="57"/>
  <c r="H104" i="57"/>
  <c r="H397" i="57"/>
  <c r="H178" i="57"/>
  <c r="H189" i="57"/>
  <c r="H324" i="57"/>
  <c r="H363" i="57"/>
  <c r="J240" i="57"/>
  <c r="H169" i="57"/>
  <c r="H384" i="57"/>
  <c r="H229" i="57"/>
  <c r="J353" i="57"/>
  <c r="J423" i="57"/>
  <c r="J424" i="57"/>
  <c r="J421" i="57"/>
  <c r="J422" i="57"/>
  <c r="L421" i="57"/>
  <c r="I420" i="57"/>
  <c r="K420" i="57" s="1"/>
  <c r="G11" i="59" l="1"/>
  <c r="E11" i="59"/>
  <c r="I11" i="59"/>
  <c r="J11" i="59"/>
  <c r="H11" i="59"/>
  <c r="E23" i="59"/>
  <c r="M33" i="59"/>
  <c r="F23" i="59"/>
  <c r="J23" i="59"/>
  <c r="H17" i="59"/>
  <c r="H23" i="59"/>
  <c r="J17" i="59"/>
  <c r="G23" i="59"/>
  <c r="F17" i="59"/>
  <c r="E15" i="58"/>
  <c r="C28" i="59" s="1"/>
  <c r="J29" i="59" s="1"/>
  <c r="E16" i="58"/>
  <c r="C31" i="59" s="1"/>
  <c r="I32" i="59" s="1"/>
  <c r="J36" i="57"/>
  <c r="I26" i="59"/>
  <c r="F26" i="59"/>
  <c r="G26" i="59"/>
  <c r="I17" i="59"/>
  <c r="E10" i="58"/>
  <c r="E17" i="59"/>
  <c r="J118" i="57"/>
  <c r="J26" i="59"/>
  <c r="H26" i="59"/>
  <c r="I118" i="57"/>
  <c r="K118" i="57" s="1"/>
  <c r="L118" i="57" s="1"/>
  <c r="H422" i="57"/>
  <c r="H424" i="57"/>
  <c r="J420" i="57"/>
  <c r="L420" i="57"/>
  <c r="C13" i="59" l="1"/>
  <c r="F14" i="59" s="1"/>
  <c r="M21" i="59"/>
  <c r="M15" i="59"/>
  <c r="M9" i="59"/>
  <c r="G29" i="59"/>
  <c r="F29" i="59"/>
  <c r="E29" i="59"/>
  <c r="E14" i="59"/>
  <c r="H29" i="59"/>
  <c r="I29" i="59"/>
  <c r="G32" i="59"/>
  <c r="E32" i="59"/>
  <c r="F32" i="59"/>
  <c r="M24" i="59"/>
  <c r="J32" i="59"/>
  <c r="H32" i="59"/>
  <c r="I14" i="59"/>
  <c r="E12" i="58"/>
  <c r="C19" i="59" s="1"/>
  <c r="E20" i="59" s="1"/>
  <c r="E19" i="58"/>
  <c r="E21" i="58" s="1"/>
  <c r="C18" i="20" s="1"/>
  <c r="G14" i="59"/>
  <c r="H14" i="59"/>
  <c r="J14" i="59"/>
  <c r="M428" i="57"/>
  <c r="M30" i="59" l="1"/>
  <c r="M27" i="59"/>
  <c r="M12" i="59"/>
  <c r="J20" i="59"/>
  <c r="H20" i="59"/>
  <c r="G20" i="59"/>
  <c r="F20" i="59"/>
  <c r="I20" i="59"/>
  <c r="C40" i="59"/>
  <c r="G41" i="59" s="1"/>
  <c r="G42" i="59" s="1"/>
  <c r="M291" i="57"/>
  <c r="M155" i="57"/>
  <c r="M76" i="57"/>
  <c r="M385" i="57"/>
  <c r="M28" i="57"/>
  <c r="M207" i="57"/>
  <c r="M97" i="57"/>
  <c r="M260" i="57"/>
  <c r="M217" i="57"/>
  <c r="M89" i="57"/>
  <c r="M268" i="57"/>
  <c r="M20" i="57"/>
  <c r="M245" i="57"/>
  <c r="M335" i="57"/>
  <c r="M330" i="57"/>
  <c r="M35" i="57"/>
  <c r="M406" i="57"/>
  <c r="M376" i="57"/>
  <c r="M182" i="57"/>
  <c r="M257" i="57"/>
  <c r="M216" i="57"/>
  <c r="M308" i="57"/>
  <c r="M171" i="57"/>
  <c r="M221" i="57"/>
  <c r="M117" i="57"/>
  <c r="M106" i="57"/>
  <c r="M196" i="57"/>
  <c r="M115" i="57"/>
  <c r="M320" i="57"/>
  <c r="M203" i="57"/>
  <c r="M256" i="57"/>
  <c r="M281" i="57"/>
  <c r="M91" i="57"/>
  <c r="M261" i="57"/>
  <c r="M248" i="57"/>
  <c r="M269" i="57"/>
  <c r="M212" i="57"/>
  <c r="M290" i="57"/>
  <c r="M170" i="57"/>
  <c r="M361" i="57"/>
  <c r="M17" i="57"/>
  <c r="M113" i="57"/>
  <c r="M210" i="57"/>
  <c r="M410" i="57"/>
  <c r="M134" i="57"/>
  <c r="M183" i="57"/>
  <c r="M395" i="57"/>
  <c r="M343" i="57"/>
  <c r="M249" i="57"/>
  <c r="M162" i="57"/>
  <c r="M138" i="57"/>
  <c r="M225" i="57"/>
  <c r="M173" i="57"/>
  <c r="M88" i="57"/>
  <c r="M77" i="57"/>
  <c r="M206" i="57"/>
  <c r="M204" i="57"/>
  <c r="M84" i="57"/>
  <c r="M276" i="57"/>
  <c r="M176" i="57"/>
  <c r="M185" i="57"/>
  <c r="M101" i="57"/>
  <c r="M149" i="57"/>
  <c r="M172" i="57"/>
  <c r="M136" i="57"/>
  <c r="M331" i="57"/>
  <c r="M102" i="57"/>
  <c r="M266" i="57"/>
  <c r="M236" i="57"/>
  <c r="M238" i="57"/>
  <c r="M144" i="57"/>
  <c r="M394" i="57"/>
  <c r="M156" i="57"/>
  <c r="M202" i="57"/>
  <c r="M336" i="57"/>
  <c r="M135" i="57"/>
  <c r="M161" i="57"/>
  <c r="M366" i="57"/>
  <c r="M247" i="57"/>
  <c r="M15" i="57"/>
  <c r="M327" i="57"/>
  <c r="M98" i="57"/>
  <c r="M311" i="57"/>
  <c r="M55" i="57"/>
  <c r="M158" i="57"/>
  <c r="M211" i="57"/>
  <c r="M223" i="57"/>
  <c r="M309" i="57"/>
  <c r="M191" i="57"/>
  <c r="M129" i="57"/>
  <c r="M415" i="57"/>
  <c r="M53" i="57"/>
  <c r="M345" i="57"/>
  <c r="M252" i="57"/>
  <c r="M230" i="57"/>
  <c r="M357" i="57"/>
  <c r="M262" i="57"/>
  <c r="M244" i="57"/>
  <c r="M386" i="57"/>
  <c r="M27" i="57"/>
  <c r="M378" i="57"/>
  <c r="M75" i="57"/>
  <c r="M232" i="57"/>
  <c r="M107" i="57"/>
  <c r="M222" i="57"/>
  <c r="M254" i="57"/>
  <c r="M339" i="57"/>
  <c r="M367" i="57"/>
  <c r="M356" i="57"/>
  <c r="M369" i="57"/>
  <c r="M205" i="57"/>
  <c r="M272" i="57"/>
  <c r="M280" i="57"/>
  <c r="M283" i="57"/>
  <c r="M26" i="57"/>
  <c r="M54" i="57"/>
  <c r="M133" i="57"/>
  <c r="M365" i="57"/>
  <c r="M81" i="57"/>
  <c r="M333" i="57"/>
  <c r="M277" i="57"/>
  <c r="M296" i="57"/>
  <c r="M371" i="57"/>
  <c r="M282" i="57"/>
  <c r="M130" i="57"/>
  <c r="M145" i="57"/>
  <c r="M297" i="57"/>
  <c r="M150" i="57"/>
  <c r="M85" i="57"/>
  <c r="M368" i="57"/>
  <c r="M99" i="57"/>
  <c r="M100" i="57"/>
  <c r="M419" i="57"/>
  <c r="M271" i="57"/>
  <c r="M67" i="57"/>
  <c r="M350" i="57"/>
  <c r="M351" i="57"/>
  <c r="M302" i="57"/>
  <c r="M73" i="57"/>
  <c r="M298" i="57"/>
  <c r="M105" i="57"/>
  <c r="M159" i="57"/>
  <c r="M78" i="57"/>
  <c r="M160" i="57"/>
  <c r="M303" i="57"/>
  <c r="M140" i="57"/>
  <c r="M72" i="57"/>
  <c r="M352" i="57"/>
  <c r="M128" i="57"/>
  <c r="M329" i="57"/>
  <c r="M364" i="57"/>
  <c r="M227" i="57"/>
  <c r="M382" i="57"/>
  <c r="M301" i="57"/>
  <c r="M93" i="57"/>
  <c r="M157" i="57"/>
  <c r="M265" i="57"/>
  <c r="M393" i="57"/>
  <c r="M208" i="57"/>
  <c r="M285" i="57"/>
  <c r="M83" i="57"/>
  <c r="M273" i="57"/>
  <c r="M328" i="57"/>
  <c r="M165" i="57"/>
  <c r="M388" i="57"/>
  <c r="M264" i="57"/>
  <c r="M80" i="57"/>
  <c r="M226" i="57"/>
  <c r="M166" i="57"/>
  <c r="M42" i="57"/>
  <c r="M307" i="57"/>
  <c r="M146" i="57"/>
  <c r="M399" i="57"/>
  <c r="M274" i="57"/>
  <c r="M243" i="57"/>
  <c r="M310" i="57"/>
  <c r="M231" i="57"/>
  <c r="M387" i="57"/>
  <c r="M147" i="57"/>
  <c r="M79" i="57"/>
  <c r="M16" i="57"/>
  <c r="M82" i="57"/>
  <c r="M416" i="57"/>
  <c r="M60" i="57"/>
  <c r="M186" i="57"/>
  <c r="M237" i="57"/>
  <c r="M190" i="57"/>
  <c r="M184" i="57"/>
  <c r="M124" i="57"/>
  <c r="M151" i="57"/>
  <c r="M215" i="57"/>
  <c r="M152" i="57"/>
  <c r="M284" i="57"/>
  <c r="M255" i="57"/>
  <c r="M116" i="57"/>
  <c r="M373" i="57"/>
  <c r="M288" i="57"/>
  <c r="M123" i="57"/>
  <c r="M198" i="57"/>
  <c r="M372" i="57"/>
  <c r="M405" i="57"/>
  <c r="M197" i="57"/>
  <c r="M110" i="57"/>
  <c r="M179" i="57"/>
  <c r="M403" i="57"/>
  <c r="M61" i="57"/>
  <c r="M389" i="57"/>
  <c r="M342" i="57"/>
  <c r="M74" i="57"/>
  <c r="M253" i="57"/>
  <c r="M359" i="57"/>
  <c r="M404" i="57"/>
  <c r="M358" i="57"/>
  <c r="M235" i="57"/>
  <c r="M95" i="57"/>
  <c r="M239" i="57"/>
  <c r="M220" i="57"/>
  <c r="M108" i="57"/>
  <c r="M380" i="57"/>
  <c r="M139" i="57"/>
  <c r="M267" i="57"/>
  <c r="M321" i="57"/>
  <c r="M90" i="57"/>
  <c r="M334" i="57"/>
  <c r="M400" i="57"/>
  <c r="M209" i="57"/>
  <c r="M23" i="57"/>
  <c r="M14" i="57"/>
  <c r="M224" i="57"/>
  <c r="M370" i="57"/>
  <c r="M360" i="57"/>
  <c r="M326" i="57"/>
  <c r="M122" i="57"/>
  <c r="M246" i="57"/>
  <c r="M233" i="57"/>
  <c r="M50" i="57"/>
  <c r="M148" i="57"/>
  <c r="M114" i="57"/>
  <c r="M306" i="57"/>
  <c r="M275" i="57"/>
  <c r="M270" i="57"/>
  <c r="M325" i="57"/>
  <c r="M214" i="57"/>
  <c r="M319" i="57"/>
  <c r="M263" i="57"/>
  <c r="M379" i="57"/>
  <c r="M381" i="57"/>
  <c r="M66" i="57"/>
  <c r="M68" i="57"/>
  <c r="M213" i="57"/>
  <c r="M251" i="57"/>
  <c r="M407" i="57"/>
  <c r="M332" i="57"/>
  <c r="M96" i="57"/>
  <c r="M92" i="57"/>
  <c r="M250" i="57"/>
  <c r="M109" i="57"/>
  <c r="M346" i="57"/>
  <c r="M344" i="57"/>
  <c r="M377" i="57"/>
  <c r="M289" i="57"/>
  <c r="M398" i="57"/>
  <c r="M234" i="57"/>
  <c r="M137" i="57"/>
  <c r="M94" i="57"/>
  <c r="M174" i="57"/>
  <c r="M64" i="57"/>
  <c r="M21" i="57"/>
  <c r="M112" i="57"/>
  <c r="M52" i="57"/>
  <c r="M62" i="57"/>
  <c r="M228" i="57"/>
  <c r="M362" i="57"/>
  <c r="M417" i="57"/>
  <c r="M51" i="57"/>
  <c r="M392" i="57"/>
  <c r="M132" i="57"/>
  <c r="M180" i="57"/>
  <c r="M201" i="57"/>
  <c r="M87" i="57"/>
  <c r="M305" i="57"/>
  <c r="M189" i="57"/>
  <c r="M175" i="57"/>
  <c r="M44" i="57"/>
  <c r="M111" i="57"/>
  <c r="M418" i="57"/>
  <c r="M314" i="57"/>
  <c r="M412" i="57"/>
  <c r="M177" i="57"/>
  <c r="M316" i="57"/>
  <c r="M153" i="57"/>
  <c r="M181" i="57"/>
  <c r="M401" i="57"/>
  <c r="M402" i="57"/>
  <c r="M355" i="57"/>
  <c r="M195" i="57"/>
  <c r="M396" i="57"/>
  <c r="M71" i="57"/>
  <c r="M295" i="57"/>
  <c r="M318" i="57"/>
  <c r="M397" i="57"/>
  <c r="M294" i="57"/>
  <c r="M13" i="57"/>
  <c r="M29" i="57"/>
  <c r="M63" i="57"/>
  <c r="M104" i="57"/>
  <c r="M315" i="57"/>
  <c r="M43" i="57"/>
  <c r="M229" i="57"/>
  <c r="M279" i="57"/>
  <c r="M194" i="57"/>
  <c r="M374" i="57"/>
  <c r="M58" i="57"/>
  <c r="M41" i="57"/>
  <c r="M39" i="57"/>
  <c r="M375" i="57"/>
  <c r="M65" i="57"/>
  <c r="M349" i="57"/>
  <c r="M18" i="57"/>
  <c r="M337" i="57"/>
  <c r="M164" i="57"/>
  <c r="M338" i="57"/>
  <c r="M408" i="57"/>
  <c r="M363" i="57"/>
  <c r="M25" i="57"/>
  <c r="M218" i="57"/>
  <c r="M131" i="57"/>
  <c r="M287" i="57"/>
  <c r="M143" i="57"/>
  <c r="M413" i="57"/>
  <c r="M19" i="57"/>
  <c r="M22" i="57"/>
  <c r="M103" i="57"/>
  <c r="M317" i="57"/>
  <c r="M193" i="57"/>
  <c r="M30" i="57"/>
  <c r="M299" i="57"/>
  <c r="M45" i="57"/>
  <c r="M286" i="57"/>
  <c r="M56" i="57"/>
  <c r="M219" i="57"/>
  <c r="M293" i="57"/>
  <c r="M121" i="57"/>
  <c r="M178" i="57"/>
  <c r="M49" i="57"/>
  <c r="M163" i="57"/>
  <c r="M304" i="57"/>
  <c r="M40" i="57"/>
  <c r="M414" i="57"/>
  <c r="M46" i="57"/>
  <c r="M383" i="57"/>
  <c r="M33" i="57"/>
  <c r="M32" i="57"/>
  <c r="M292" i="57"/>
  <c r="M31" i="57"/>
  <c r="M259" i="57"/>
  <c r="M409" i="57"/>
  <c r="M59" i="57"/>
  <c r="M324" i="57"/>
  <c r="M340" i="57"/>
  <c r="M154" i="57"/>
  <c r="M57" i="57"/>
  <c r="M242" i="57"/>
  <c r="M341" i="57"/>
  <c r="M411" i="57"/>
  <c r="M192" i="57"/>
  <c r="M11" i="57"/>
  <c r="M258" i="57"/>
  <c r="M384" i="57"/>
  <c r="M24" i="57"/>
  <c r="M12" i="57"/>
  <c r="M127" i="57"/>
  <c r="M278" i="57"/>
  <c r="M86" i="57"/>
  <c r="M169" i="57"/>
  <c r="M34" i="57"/>
  <c r="M300" i="57"/>
  <c r="M125" i="57"/>
  <c r="M313" i="57"/>
  <c r="M126" i="57"/>
  <c r="M241" i="57"/>
  <c r="M69" i="57"/>
  <c r="M47" i="57"/>
  <c r="M200" i="57"/>
  <c r="M353" i="57"/>
  <c r="M120" i="57"/>
  <c r="M354" i="57"/>
  <c r="M142" i="57"/>
  <c r="M9" i="57"/>
  <c r="M424" i="57"/>
  <c r="M168" i="57"/>
  <c r="M422" i="57"/>
  <c r="M322" i="57"/>
  <c r="M199" i="57"/>
  <c r="M141" i="57"/>
  <c r="M48" i="57"/>
  <c r="M390" i="57"/>
  <c r="M423" i="57"/>
  <c r="M167" i="57"/>
  <c r="M38" i="57"/>
  <c r="M323" i="57"/>
  <c r="M312" i="57"/>
  <c r="M348" i="57"/>
  <c r="M70" i="57"/>
  <c r="M10" i="57"/>
  <c r="M188" i="57"/>
  <c r="M391" i="57"/>
  <c r="M187" i="57"/>
  <c r="M240" i="57"/>
  <c r="M347" i="57"/>
  <c r="M36" i="57"/>
  <c r="M119" i="57"/>
  <c r="M421" i="57"/>
  <c r="M37" i="57"/>
  <c r="M118" i="57"/>
  <c r="M420" i="57"/>
  <c r="M18" i="59" l="1"/>
  <c r="C42" i="59"/>
  <c r="D40" i="59" s="1"/>
  <c r="I41" i="59"/>
  <c r="I42" i="59" s="1"/>
  <c r="H41" i="59"/>
  <c r="H42" i="59" s="1"/>
  <c r="E41" i="59"/>
  <c r="E42" i="59" s="1"/>
  <c r="E44" i="59" s="1"/>
  <c r="F41" i="59"/>
  <c r="F42" i="59" s="1"/>
  <c r="J41" i="59"/>
  <c r="J42" i="59" s="1"/>
  <c r="G43" i="59" l="1"/>
  <c r="D13" i="59"/>
  <c r="D19" i="59"/>
  <c r="D10" i="59"/>
  <c r="D34" i="59"/>
  <c r="H43" i="59"/>
  <c r="E43" i="59"/>
  <c r="E45" i="59" s="1"/>
  <c r="D31" i="59"/>
  <c r="D28" i="59"/>
  <c r="D16" i="59"/>
  <c r="D25" i="59"/>
  <c r="D37" i="59"/>
  <c r="D22" i="59"/>
  <c r="J43" i="59"/>
  <c r="F43" i="59"/>
  <c r="I43" i="59"/>
  <c r="F44" i="59"/>
  <c r="G44" i="59" s="1"/>
  <c r="H44" i="59" s="1"/>
  <c r="I44" i="59" s="1"/>
  <c r="J44" i="59" s="1"/>
  <c r="M39" i="59"/>
  <c r="F45" i="59" l="1"/>
  <c r="G45" i="59" s="1"/>
  <c r="H45" i="59" s="1"/>
  <c r="I45" i="59" s="1"/>
  <c r="J45" i="59" s="1"/>
  <c r="D42" i="59"/>
</calcChain>
</file>

<file path=xl/sharedStrings.xml><?xml version="1.0" encoding="utf-8"?>
<sst xmlns="http://schemas.openxmlformats.org/spreadsheetml/2006/main" count="2251" uniqueCount="1241">
  <si>
    <t>____________________________________</t>
  </si>
  <si>
    <t>Responsável Técnico pela Elaboração da planilha e preços</t>
  </si>
  <si>
    <r>
      <t xml:space="preserve">Encargos sociais: </t>
    </r>
    <r>
      <rPr>
        <sz val="18"/>
        <rFont val="Arial"/>
        <family val="2"/>
      </rPr>
      <t>Sem desoneração</t>
    </r>
  </si>
  <si>
    <t>CÓDIGO</t>
  </si>
  <si>
    <t>ITEM</t>
  </si>
  <si>
    <t xml:space="preserve"> 1 </t>
  </si>
  <si>
    <t>SERVIÇOS PRELIMINARES</t>
  </si>
  <si>
    <t xml:space="preserve"> 2 </t>
  </si>
  <si>
    <t>MOVIMENTAÇÃO DE TERRA E PAVIMENTAÇÃO</t>
  </si>
  <si>
    <t xml:space="preserve"> 3 </t>
  </si>
  <si>
    <t xml:space="preserve"> 4 </t>
  </si>
  <si>
    <t xml:space="preserve"> 5 </t>
  </si>
  <si>
    <t>ARQUITETURA E ELEMENTOS DE URBANISMO</t>
  </si>
  <si>
    <t xml:space="preserve"> 6 </t>
  </si>
  <si>
    <t xml:space="preserve"> 7 </t>
  </si>
  <si>
    <t>INSTALAÇÕES ELÉTRICAS E ELETRÔNICAS</t>
  </si>
  <si>
    <t xml:space="preserve"> 8 </t>
  </si>
  <si>
    <t xml:space="preserve"> 9 </t>
  </si>
  <si>
    <t xml:space="preserve"> 10 </t>
  </si>
  <si>
    <t xml:space="preserve"> 11 </t>
  </si>
  <si>
    <t>SERVIÇOS COMPLEMENTARES</t>
  </si>
  <si>
    <t>SERVIÇOS AUXILIARES E ADMINISTRATIVOS</t>
  </si>
  <si>
    <t>ENCARGOS SOCIAIS</t>
  </si>
  <si>
    <t>Item</t>
  </si>
  <si>
    <t>Código</t>
  </si>
  <si>
    <t>Banco</t>
  </si>
  <si>
    <t>Descrição</t>
  </si>
  <si>
    <t>Und</t>
  </si>
  <si>
    <t>Quant.</t>
  </si>
  <si>
    <t>Peso (%)</t>
  </si>
  <si>
    <t xml:space="preserve">  </t>
  </si>
  <si>
    <t/>
  </si>
  <si>
    <t xml:space="preserve"> 1.1 </t>
  </si>
  <si>
    <t xml:space="preserve"> 1.1.1 </t>
  </si>
  <si>
    <t>MOBILIZAÇÃO E DESMOBILIZAÇÃO</t>
  </si>
  <si>
    <t>Próprio</t>
  </si>
  <si>
    <t>UN</t>
  </si>
  <si>
    <t>CONSTRUÇÕES PROVISÓRIAS</t>
  </si>
  <si>
    <t xml:space="preserve"> COMP-1742 </t>
  </si>
  <si>
    <t>LOCAÇÃO DE CONTAINER PARA SANITÁRIO E VESTIÁRIO - 2,30 X 4,30 M, ALT. 2,50 M, COM 3 BACIAS, 4 CHUVEIROS, 1 LAVATORIO E 1 MICTORIO</t>
  </si>
  <si>
    <t>MÊS</t>
  </si>
  <si>
    <t xml:space="preserve"> COMP-1745 </t>
  </si>
  <si>
    <t>Copia da IOPES (020353) - Aluguel mensal container para refeitorio, incl. porta, 2 janelas, abert p/ ar cond., 2 pt iluminação, 2 tomadas elét. e 1 tomada telef. Isolamento térmico (paredes e teto), piso em comp. Naval pintado, cert. NR18, incl. laudo descontaminação.</t>
  </si>
  <si>
    <t xml:space="preserve"> COMP-1741 </t>
  </si>
  <si>
    <t>LOCAÇÃO DE CONTAINER PARA ALMOXARIFADO</t>
  </si>
  <si>
    <t xml:space="preserve"> COMP-1926 </t>
  </si>
  <si>
    <t>LOCAÇÃO DE CONTAINER PARA ESCRITÓRIO</t>
  </si>
  <si>
    <t xml:space="preserve"> 95240 </t>
  </si>
  <si>
    <t>SINAPI</t>
  </si>
  <si>
    <t>m²</t>
  </si>
  <si>
    <t>LIGAÇÕES PROVISÓRIAS</t>
  </si>
  <si>
    <t xml:space="preserve"> COMP-1276 </t>
  </si>
  <si>
    <t>Copia da SINAPI 01/2020 (41598) - ENTRADA PROVISORIA DE ENERGIA ELETRICA AEREA TRIFASICA 40A EM POSTE MADEIRA</t>
  </si>
  <si>
    <t xml:space="preserve"> COMP-1277 </t>
  </si>
  <si>
    <t>CÓPIA DE TCPO 13 (02510.8.1.1) - LIGAÇÃO PROVISÓRIA DE ÁGUA PARA OBRA E INSTALAÇÃO SANITÁRIA PROVISÓRIA , PEQUENAS OBRAS - INSTALAÇÃO MÍNIMA</t>
  </si>
  <si>
    <t>PROTEÇÃO E SINALIZAÇÃO</t>
  </si>
  <si>
    <t xml:space="preserve"> 98459 </t>
  </si>
  <si>
    <t xml:space="preserve"> 103689 </t>
  </si>
  <si>
    <t>FORNECIMENTO E INSTALAÇÃO DE PLACA DE OBRA COM CHAPA GALVANIZADA E ESTRUTURA DE MADEIRA. AF_03/2022_PS</t>
  </si>
  <si>
    <t xml:space="preserve"> 1.2 </t>
  </si>
  <si>
    <t>LOCAÇÃO DA OBRA</t>
  </si>
  <si>
    <t xml:space="preserve"> 1.2.1 </t>
  </si>
  <si>
    <t xml:space="preserve"> 99059 </t>
  </si>
  <si>
    <t>M</t>
  </si>
  <si>
    <t xml:space="preserve"> 2.1 </t>
  </si>
  <si>
    <t xml:space="preserve"> 2.1.1 </t>
  </si>
  <si>
    <t xml:space="preserve"> 98525 </t>
  </si>
  <si>
    <t xml:space="preserve"> 2.1.2 </t>
  </si>
  <si>
    <t xml:space="preserve"> 2.1.3 </t>
  </si>
  <si>
    <t xml:space="preserve"> 2.1.4 </t>
  </si>
  <si>
    <t>m³</t>
  </si>
  <si>
    <t xml:space="preserve"> 96385 </t>
  </si>
  <si>
    <t xml:space="preserve"> 2.2 </t>
  </si>
  <si>
    <t>PAVIMENTAÇÃO</t>
  </si>
  <si>
    <t xml:space="preserve"> 2.2.1 </t>
  </si>
  <si>
    <t>SUBLEITO</t>
  </si>
  <si>
    <t xml:space="preserve"> 2.2.1.1 </t>
  </si>
  <si>
    <t xml:space="preserve"> 100576 </t>
  </si>
  <si>
    <t xml:space="preserve"> 2.2.1.2 </t>
  </si>
  <si>
    <t xml:space="preserve"> COMP-2044 </t>
  </si>
  <si>
    <t>Copia da SINAPI (74021/003) - ENSAIOS DE REGULARIZACAO DO SUBLEITO</t>
  </si>
  <si>
    <t xml:space="preserve"> 2.2.2 </t>
  </si>
  <si>
    <t xml:space="preserve"> 2.2.2.1 </t>
  </si>
  <si>
    <t xml:space="preserve"> 100573 </t>
  </si>
  <si>
    <t xml:space="preserve"> 2.2.2.2 </t>
  </si>
  <si>
    <t xml:space="preserve"> COMP-1395 </t>
  </si>
  <si>
    <t>Copia da SINAPI (83356) - TRANSPORTE COMERCIAL DE BRITA</t>
  </si>
  <si>
    <t>M3XKM</t>
  </si>
  <si>
    <t xml:space="preserve"> 2.2.2.3 </t>
  </si>
  <si>
    <t xml:space="preserve"> 2.2.2.4 </t>
  </si>
  <si>
    <t xml:space="preserve"> 95877 </t>
  </si>
  <si>
    <t>TRANSPORTE COM CAMINHÃO BASCULANTE DE 18 M³, EM VIA URBANA PAVIMENTADA, DMT ATÉ 30 KM (UNIDADE: M3XKM). AF_07/2020</t>
  </si>
  <si>
    <t xml:space="preserve"> COMP-2045 </t>
  </si>
  <si>
    <t>Copia da SINAPI (74021/006) - ENSAIOS DE BASE ESTABILIZADA GRANULOMETRICAMENTE</t>
  </si>
  <si>
    <t xml:space="preserve"> 2.2.3 </t>
  </si>
  <si>
    <t>BASE</t>
  </si>
  <si>
    <t xml:space="preserve"> 2.2.3.1 </t>
  </si>
  <si>
    <t>TXKM</t>
  </si>
  <si>
    <t xml:space="preserve"> 3.1 </t>
  </si>
  <si>
    <t xml:space="preserve"> 3.1.1 </t>
  </si>
  <si>
    <t xml:space="preserve"> 99063 </t>
  </si>
  <si>
    <t xml:space="preserve"> 3.1.2 </t>
  </si>
  <si>
    <t xml:space="preserve"> 92210 </t>
  </si>
  <si>
    <t xml:space="preserve"> 3.1.3 </t>
  </si>
  <si>
    <t xml:space="preserve"> 92212 </t>
  </si>
  <si>
    <t xml:space="preserve"> 3.1.4 </t>
  </si>
  <si>
    <t xml:space="preserve"> 102279 </t>
  </si>
  <si>
    <t xml:space="preserve"> 3.1.5 </t>
  </si>
  <si>
    <t xml:space="preserve"> 3.1.6 </t>
  </si>
  <si>
    <t xml:space="preserve"> 101616 </t>
  </si>
  <si>
    <t>PREPARO DE FUNDO DE VALA COM LARGURA MENOR QUE 1,5 M (ACERTO DO SOLO NATURAL). AF_08/2020</t>
  </si>
  <si>
    <t xml:space="preserve"> 3.1.7 </t>
  </si>
  <si>
    <t xml:space="preserve"> 3.2 </t>
  </si>
  <si>
    <t xml:space="preserve"> 3.2.1 </t>
  </si>
  <si>
    <t xml:space="preserve"> 3.2.2 </t>
  </si>
  <si>
    <t xml:space="preserve"> 3.2.3 </t>
  </si>
  <si>
    <t xml:space="preserve"> 99318 </t>
  </si>
  <si>
    <t>CHAMINÉ CIRCULAR PARA POÇO DE VISITA PARA DRENAGEM, EM CONCRETO PRÉ-MOLDADO, DIÂMETRO INTERNO = 0,6 M. AF_12/2020</t>
  </si>
  <si>
    <t xml:space="preserve"> 3.2.4 </t>
  </si>
  <si>
    <t xml:space="preserve"> 3.2.5 </t>
  </si>
  <si>
    <t xml:space="preserve"> 3.3 </t>
  </si>
  <si>
    <t xml:space="preserve"> 3.3.1 </t>
  </si>
  <si>
    <t xml:space="preserve"> 94273 </t>
  </si>
  <si>
    <t xml:space="preserve"> 94274 </t>
  </si>
  <si>
    <t xml:space="preserve"> 102498 </t>
  </si>
  <si>
    <t>PINTURA DE MEIO-FIO COM TINTA BRANCA A BASE DE CAL (CAIAÇÃO). AF_05/2021</t>
  </si>
  <si>
    <t xml:space="preserve"> 3.3.2 </t>
  </si>
  <si>
    <t xml:space="preserve"> 4.1 </t>
  </si>
  <si>
    <t>FUNDAÇÃO</t>
  </si>
  <si>
    <t xml:space="preserve"> 4.1.1 </t>
  </si>
  <si>
    <t>ESTACAS</t>
  </si>
  <si>
    <t xml:space="preserve"> 4.1.1.1 </t>
  </si>
  <si>
    <t xml:space="preserve"> 4.1.1.2 </t>
  </si>
  <si>
    <t xml:space="preserve"> COMP-1318 </t>
  </si>
  <si>
    <t>Copia da SINAPI (100896) - ESTACA ESCAVADA MECANICAMENTE, SEM FLUIDO ESTABILIZANTE, COM 30CM DE DIÂMETRO, CONCRETO 25 MPa LANÇADO POR CAMINHÃO BETONEIRA</t>
  </si>
  <si>
    <t xml:space="preserve"> 4.1.1.3 </t>
  </si>
  <si>
    <t xml:space="preserve"> 95578 </t>
  </si>
  <si>
    <t>MONTAGEM DE ARMADURA DE ESTACAS, DIÂMETRO = 12,5 MM. AF_09/2021_PS</t>
  </si>
  <si>
    <t>KG</t>
  </si>
  <si>
    <t xml:space="preserve"> 4.1.1.4 </t>
  </si>
  <si>
    <t xml:space="preserve"> 95601 </t>
  </si>
  <si>
    <t>ARRASAMENTO MECANICO DE ESTACA DE CONCRETO ARMADO, DIAMETROS DE ATÉ 40 CM. AF_05/2021</t>
  </si>
  <si>
    <t xml:space="preserve"> 95583 </t>
  </si>
  <si>
    <t>MONTAGEM DE ARMADURA TRANSVERSAL DE ESTACAS DE SEÇÃO CIRCULAR, DIÂMETRO = 5,0 MM. AF_09/2021_PS</t>
  </si>
  <si>
    <t xml:space="preserve"> 4.1.2 </t>
  </si>
  <si>
    <t xml:space="preserve"> 4.1.2.1 </t>
  </si>
  <si>
    <t xml:space="preserve"> 4.1.2.2 </t>
  </si>
  <si>
    <t xml:space="preserve"> 96521 </t>
  </si>
  <si>
    <t xml:space="preserve"> 96534 </t>
  </si>
  <si>
    <t xml:space="preserve"> 96543 </t>
  </si>
  <si>
    <t xml:space="preserve"> 96546 </t>
  </si>
  <si>
    <t xml:space="preserve"> 4.2 </t>
  </si>
  <si>
    <t>ESTRUTURA EM CONCRETO ARMADO</t>
  </si>
  <si>
    <t xml:space="preserve"> 4.2.1 </t>
  </si>
  <si>
    <t>PILARES</t>
  </si>
  <si>
    <t xml:space="preserve"> 4.2.1.1 </t>
  </si>
  <si>
    <t xml:space="preserve"> 4.2.1.2 </t>
  </si>
  <si>
    <t xml:space="preserve"> 4.2.1.3 </t>
  </si>
  <si>
    <t xml:space="preserve"> 92759 </t>
  </si>
  <si>
    <t>ARMAÇÃO DE PILAR OU VIGA DE ESTRUTURA CONVENCIONAL DE CONCRETO ARMADO UTILIZANDO AÇO CA-60 DE 5,0 MM - MONTAGEM. AF_06/2022</t>
  </si>
  <si>
    <t xml:space="preserve"> 4.2.1.4 </t>
  </si>
  <si>
    <t xml:space="preserve"> 4.2.1.5 </t>
  </si>
  <si>
    <t xml:space="preserve"> 4.2.1.6 </t>
  </si>
  <si>
    <t>VIGAS</t>
  </si>
  <si>
    <t xml:space="preserve"> 96536 </t>
  </si>
  <si>
    <t xml:space="preserve"> 96525 </t>
  </si>
  <si>
    <t xml:space="preserve"> 92761 </t>
  </si>
  <si>
    <t>ARMAÇÃO DE PILAR OU VIGA DE ESTRUTURA CONVENCIONAL DE CONCRETO ARMADO UTILIZANDO AÇO CA-50 DE 8,0 MM - MONTAGEM. AF_06/2022</t>
  </si>
  <si>
    <t>COBERTURA</t>
  </si>
  <si>
    <t xml:space="preserve"> 92769 </t>
  </si>
  <si>
    <t>ARMAÇÃO DE LAJE DE ESTRUTURA CONVENCIONAL DE CONCRETO ARMADO UTILIZANDO AÇO CA-50 DE 6,3 MM - MONTAGEM. AF_06/2022</t>
  </si>
  <si>
    <t xml:space="preserve"> 97087 </t>
  </si>
  <si>
    <t>CAMADA SEPARADORA PARA EXECUÇÃO DE RADIER, PISO DE CONCRETO OU LAJE SOBRE SOLO, EM LONA PLÁSTICA. AF_09/2021</t>
  </si>
  <si>
    <t xml:space="preserve"> 4.3 </t>
  </si>
  <si>
    <t>ESTRUTURA METÁLICA</t>
  </si>
  <si>
    <t xml:space="preserve"> 4.3.1 </t>
  </si>
  <si>
    <t xml:space="preserve"> 4.3.2 </t>
  </si>
  <si>
    <t xml:space="preserve"> 4.3.3 </t>
  </si>
  <si>
    <t xml:space="preserve"> 4.3.4 </t>
  </si>
  <si>
    <t xml:space="preserve"> 100716 </t>
  </si>
  <si>
    <t>JATEAMENTO ABRASIVO COM GRANALHA DE AÇO EM PERFIL METÁLICO EM FÁBRICA. AF_01/2020</t>
  </si>
  <si>
    <t xml:space="preserve"> 4.3.5 </t>
  </si>
  <si>
    <t xml:space="preserve"> 100719 </t>
  </si>
  <si>
    <t>PINTURA COM TINTA ALQUÍDICA DE FUNDO (TIPO ZARCÃO) PULVERIZADA SOBRE PERFIL METÁLICO EXECUTADO EM FÁBRICA (POR DEMÃO). AF_01/2020_PE</t>
  </si>
  <si>
    <t xml:space="preserve"> 4.3.6 </t>
  </si>
  <si>
    <t xml:space="preserve"> 100739 </t>
  </si>
  <si>
    <t>PINTURA COM TINTA ALQUÍDICA DE ACABAMENTO (ESMALTE SINTÉTICO ACETINADO) PULVERIZADA SOBRE PERFIL METÁLICO EXECUTADO EM FÁBRICA (POR DEMÃO). AF_01/2020_PE</t>
  </si>
  <si>
    <t xml:space="preserve"> 4.3.7 </t>
  </si>
  <si>
    <t xml:space="preserve"> 5.1 </t>
  </si>
  <si>
    <t>PAREDES</t>
  </si>
  <si>
    <t xml:space="preserve"> 5.1.1 </t>
  </si>
  <si>
    <t xml:space="preserve"> 103356 </t>
  </si>
  <si>
    <t>ALVENARIA DE VEDAÇÃO DE BLOCOS CERÂMICOS FURADOS NA HORIZONTAL DE 9X19X29 CM (ESPESSURA 9 CM) E ARGAMASSA DE ASSENTAMENTO COM PREPARO EM BETONEIRA. AF_12/2021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</si>
  <si>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</si>
  <si>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</si>
  <si>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</si>
  <si>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</si>
  <si>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</si>
  <si>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</si>
  <si>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5.3 </t>
  </si>
  <si>
    <t>ESQUADRIAS</t>
  </si>
  <si>
    <t xml:space="preserve"> 5.3.1 </t>
  </si>
  <si>
    <t xml:space="preserve"> 91341 </t>
  </si>
  <si>
    <t>PORTA EM ALUMÍNIO DE ABRIR TIPO VENEZIANA COM GUARNIÇÃO, FIXAÇÃO COM PARAFUSOS - FORNECIMENTO E INSTALAÇÃO. AF_12/2019</t>
  </si>
  <si>
    <t xml:space="preserve"> 5.3.2 </t>
  </si>
  <si>
    <t>m</t>
  </si>
  <si>
    <t xml:space="preserve"> 5.4 </t>
  </si>
  <si>
    <t xml:space="preserve"> 5.4.1 </t>
  </si>
  <si>
    <t xml:space="preserve"> 5.4.2 </t>
  </si>
  <si>
    <t xml:space="preserve"> 5.5 </t>
  </si>
  <si>
    <t>COBERTURA E FECHAMENTO LATERAL</t>
  </si>
  <si>
    <t xml:space="preserve"> 5.5.1 </t>
  </si>
  <si>
    <t xml:space="preserve"> 94231 </t>
  </si>
  <si>
    <t>RUFO EM CHAPA DE AÇO GALVANIZADO NÚMERO 24, CORTE DE 25 CM, INCLUSO TRANSPORTE VERTICAL. AF_07/2019</t>
  </si>
  <si>
    <t xml:space="preserve"> 5.5.2 </t>
  </si>
  <si>
    <t xml:space="preserve"> 94229 </t>
  </si>
  <si>
    <t>CALHA EM CHAPA DE AÇO GALVANIZADO NÚMERO 24, DESENVOLVIMENTO DE 100 CM, INCLUSO TRANSPORTE VERTICAL. AF_07/2019</t>
  </si>
  <si>
    <t xml:space="preserve"> 5.6 </t>
  </si>
  <si>
    <t xml:space="preserve"> 5.6.1 </t>
  </si>
  <si>
    <t xml:space="preserve"> 94993 </t>
  </si>
  <si>
    <t>EXECUÇÃO DE PASSEIO (CALÇADA) OU PISO DE CONCRETO COM CONCRETO MOLDADO IN LOCO, USINADO, ACABAMENTO CONVENCIONAL, ESPESSURA 6 CM, ARMADO. AF_08/2022</t>
  </si>
  <si>
    <t xml:space="preserve"> 5.6.2 </t>
  </si>
  <si>
    <t xml:space="preserve"> 5.6.3 </t>
  </si>
  <si>
    <t xml:space="preserve"> 96114 </t>
  </si>
  <si>
    <t>FORRO EM DRYWALL, PARA AMBIENTES COMERCIAIS, INCLUSIVE ESTRUTURA BIRECIONAL DE FIXAÇÃO. AF_08/2023_PS</t>
  </si>
  <si>
    <t xml:space="preserve"> 5.6.4 </t>
  </si>
  <si>
    <t xml:space="preserve"> 88497 </t>
  </si>
  <si>
    <t>EMASSAMENTO COM MASSA LÁTEX, APLICAÇÃO EM PAREDE, DUAS DEMÃOS, LIXAMENTO MANUAL. AF_04/2023</t>
  </si>
  <si>
    <t xml:space="preserve"> 104642 </t>
  </si>
  <si>
    <t>PINTURA LÁTEX ACRÍLICA STANDARD, APLICAÇÃO MANUAL EM PAREDES, DUAS DEMÃOS. AF_04/2023</t>
  </si>
  <si>
    <t xml:space="preserve"> 96135 </t>
  </si>
  <si>
    <t xml:space="preserve"> 88494 </t>
  </si>
  <si>
    <t>EMASSAMENTO COM MASSA LÁTEX, APLICAÇÃO EM TETO, UMA DEMÃO, LIXAMENTO MANUAL. AF_04/2023</t>
  </si>
  <si>
    <t xml:space="preserve"> 104640 </t>
  </si>
  <si>
    <t>PINTURA LÁTEX ACRÍLICA STANDARD, APLICAÇÃO MANUAL EM TETO, DUAS DEMÃOS. AF_04/2023</t>
  </si>
  <si>
    <t xml:space="preserve"> 102494 </t>
  </si>
  <si>
    <t>PINTURA DE PISO COM TINTA EPÓXI, APLICAÇÃO MANUAL, 2 DEMÃOS, INCLUSO PRIMER EPÓXI. AF_05/2021</t>
  </si>
  <si>
    <t xml:space="preserve"> 87879 </t>
  </si>
  <si>
    <t>CHAPISCO APLICADO EM ALVENARIAS E ESTRUTURAS DE CONCRETO INTERNAS, COM COLHER DE PEDREIRO.  ARGAMASSA TRAÇO 1:3 COM PREPARO EM BETONEIRA 400L. AF_10/2022</t>
  </si>
  <si>
    <t>UND</t>
  </si>
  <si>
    <t>un</t>
  </si>
  <si>
    <t xml:space="preserve"> 98504 </t>
  </si>
  <si>
    <t xml:space="preserve"> 6.1 </t>
  </si>
  <si>
    <t xml:space="preserve"> 6.1.1 </t>
  </si>
  <si>
    <t xml:space="preserve"> 97741 </t>
  </si>
  <si>
    <t xml:space="preserve"> 95675 </t>
  </si>
  <si>
    <t xml:space="preserve"> 94648 </t>
  </si>
  <si>
    <t xml:space="preserve"> 93358 </t>
  </si>
  <si>
    <t>ESCAVAÇÃO MANUAL DE VALA. AF_09/2024</t>
  </si>
  <si>
    <t xml:space="preserve"> 93382 </t>
  </si>
  <si>
    <t>REATERRO MANUAL DE VALAS, COM COMPACTADOR DE SOLOS DE PERCUSSÃO. AF_08/2023</t>
  </si>
  <si>
    <t xml:space="preserve"> 6.1.2 </t>
  </si>
  <si>
    <t xml:space="preserve"> 94495 </t>
  </si>
  <si>
    <t>REGISTRO DE GAVETA BRUTO, LATÃO, ROSCÁVEL, 1" - FORNECIMENTO E INSTALAÇÃO. AF_08/2021</t>
  </si>
  <si>
    <t xml:space="preserve"> 103985 </t>
  </si>
  <si>
    <t>JOELHO 45 GRAUS, PVC, SOLDÁVEL, DN 50MM, INSTALADO EM RAMAL DE DISTRIBUIÇÃO DE ÁGUA - FORNECIMENTO E INSTALAÇÃO. AF_06/2022</t>
  </si>
  <si>
    <t xml:space="preserve"> 89362 </t>
  </si>
  <si>
    <t>JOELHO 90 GRAUS, PVC, SOLDÁVEL, DN 25MM, INSTALADO EM RAMAL OU SUB-RAMAL DE ÁGUA - FORNECIMENTO E INSTALAÇÃO. AF_06/2022</t>
  </si>
  <si>
    <t xml:space="preserve"> 103984 </t>
  </si>
  <si>
    <t>JOELHO 90 GRAUS, PVC, SOLDÁVEL, DN 50MM, INSTALADO EM RAMAL DE DISTRIBUIÇÃO DE ÁGUA - FORNECIMENTO E INSTALAÇÃO. AF_06/2022</t>
  </si>
  <si>
    <t xml:space="preserve"> 104004 </t>
  </si>
  <si>
    <t>TE, PVC, SOLDÁVEL, DN 50MM, INSTALADO EM RAMAL DE DISTRIBUIÇÃO DE ÁGUA - FORNECIMENTO E INSTALAÇÃO. AF_06/2022</t>
  </si>
  <si>
    <t xml:space="preserve"> 6.1.3 </t>
  </si>
  <si>
    <t xml:space="preserve"> 6.2 </t>
  </si>
  <si>
    <t xml:space="preserve"> 6.2.1 </t>
  </si>
  <si>
    <t xml:space="preserve"> 97906 </t>
  </si>
  <si>
    <t>CAIXA ENTERRADA HIDRÁULICA RETANGULAR, EM ALVENARIA COM BLOCOS DE CONCRETO, DIMENSÕES INTERNAS: 0,6X0,6X0,6 M PARA REDE DE ESGOTO. AF_12/2020</t>
  </si>
  <si>
    <t xml:space="preserve"> 90724 </t>
  </si>
  <si>
    <t>JUNTA ARGAMASSADA ENTRE TUBO DN 100 MM E O POÇO DE VISITA/ CAIXA DE CONCRETO OU ALVENARIA EM REDES DE ESGOTO. AF_01/2021</t>
  </si>
  <si>
    <t xml:space="preserve"> 6.2.2 </t>
  </si>
  <si>
    <t xml:space="preserve"> 6.2.3 </t>
  </si>
  <si>
    <t xml:space="preserve"> 6.2.4 </t>
  </si>
  <si>
    <t xml:space="preserve"> 6.2.5 </t>
  </si>
  <si>
    <t xml:space="preserve"> 98555 </t>
  </si>
  <si>
    <t>IMPERMEABILIZAÇÃO DE SUPERFÍCIE COM ARGAMASSA POLIMÉRICA / MEMBRANA ACRÍLICA, 3 DEMÃOS. AF_09/2023</t>
  </si>
  <si>
    <t xml:space="preserve"> 6.3 </t>
  </si>
  <si>
    <t xml:space="preserve"> 6.3.1 </t>
  </si>
  <si>
    <t xml:space="preserve"> 6.3.2 </t>
  </si>
  <si>
    <t xml:space="preserve"> 6.3.3 </t>
  </si>
  <si>
    <t xml:space="preserve"> 104166 </t>
  </si>
  <si>
    <t>TUBO PVC, SÉRIE R, ÁGUA PLUVIAL, DN 150 MM, FORNECIDO E INSTALADO EM RAMAL DE ENCAMINHAMENTO. AF_06/2022</t>
  </si>
  <si>
    <t xml:space="preserve"> 7.1 </t>
  </si>
  <si>
    <t xml:space="preserve"> 7.1.1 </t>
  </si>
  <si>
    <t>QUADROS DE FORÇA, DISPOSITIVOS DE PROTEÇÃO E DISPOSITIVOS DE COMANDO</t>
  </si>
  <si>
    <t xml:space="preserve"> 93673 </t>
  </si>
  <si>
    <t>DISJUNTOR TRIPOLAR TIPO DIN, CORRENTE NOMINAL DE 50A - FORNECIMENTO E INSTALAÇÃO. AF_10/2020</t>
  </si>
  <si>
    <t xml:space="preserve"> 93653 </t>
  </si>
  <si>
    <t>DISJUNTOR MONOPOLAR TIPO DIN, CORRENTE NOMINAL DE 10A - FORNECIMENTO E INSTALAÇÃO. AF_10/2020</t>
  </si>
  <si>
    <t xml:space="preserve"> 93654 </t>
  </si>
  <si>
    <t>DISJUNTOR MONOPOLAR TIPO DIN, CORRENTE NOMINAL DE 16A - FORNECIMENTO E INSTALAÇÃO. AF_10/2020</t>
  </si>
  <si>
    <t xml:space="preserve"> COMP-1330 </t>
  </si>
  <si>
    <t>Copia da SINAPI (93663) - DISPOSITIVO DR, 2 POLOS, SENSIBILIDADE DE 30 MA, CORRENTE DE 25 A, TIPO AC - FORNECIMENTO E INSTALAÇÃO. AF_10/2020</t>
  </si>
  <si>
    <t xml:space="preserve"> COMP-1331 </t>
  </si>
  <si>
    <t>Copia da SINAPI (101632) - RELÉ FOTOELÉTRICO PARA COMANDO DE ILUMINAÇÃO EXTERNA 1000 W, BASE INCLUSA - FORNECIMENTO E INSTALAÇÃO. AF_08/2020</t>
  </si>
  <si>
    <t xml:space="preserve"> COMP-1332 </t>
  </si>
  <si>
    <t>DISPOSITIVO DPS CLASSE II, 1 POLO, TENSAO MAXIMA DE 275 V, CORRENTE MAXIMA DE *90* KA (TIPO AC) - FORNECIMENTO E INSTALAÇÃO. AF_10/2020</t>
  </si>
  <si>
    <t xml:space="preserve"> 7.1.2 </t>
  </si>
  <si>
    <t>ELETRODUTOS, ACESSÓRIOS E CAIXAS DE PASSAGEM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</si>
  <si>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</si>
  <si>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</si>
  <si>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7.1.3 </t>
  </si>
  <si>
    <t>CABOS E FIOS</t>
  </si>
  <si>
    <t xml:space="preserve"> 91924 </t>
  </si>
  <si>
    <t>CABO DE COBRE FLEXÍVEL ISOLADO, 1,5 MM², ANTI-CHAMA 450/750 V, PARA CIRCUITOS TERMINAIS - FORNECIMENTO E INSTALAÇÃO. AF_03/2023</t>
  </si>
  <si>
    <t xml:space="preserve"> 91926 </t>
  </si>
  <si>
    <t>CABO DE COBRE FLEXÍVEL ISOLADO, 2,5 MM², ANTI-CHAMA 450/750 V, PARA CIRCUITOS TERMINAIS - FORNECIMENTO E INSTALAÇÃO. AF_03/2023</t>
  </si>
  <si>
    <t xml:space="preserve"> 91928 </t>
  </si>
  <si>
    <t>CABO DE COBRE FLEXÍVEL ISOLADO, 4 MM², ANTI-CHAMA 450/750 V, PARA CIRCUITOS TERMINAIS - FORNECIMENTO E INSTALAÇÃO. AF_03/2023</t>
  </si>
  <si>
    <t xml:space="preserve"> 91930 </t>
  </si>
  <si>
    <t>CABO DE COBRE FLEXÍVEL ISOLADO, 6 MM², ANTI-CHAMA 450/750 V, PARA CIRCUITOS TERMINAIS - FORNECIMENTO E INSTALAÇÃO. AF_03/2023</t>
  </si>
  <si>
    <t xml:space="preserve"> 7.1.4 </t>
  </si>
  <si>
    <t>LUMINÁRIAS</t>
  </si>
  <si>
    <t xml:space="preserve"> 7.1.5 </t>
  </si>
  <si>
    <t>INTERRUPTORES E TOMADAS</t>
  </si>
  <si>
    <t xml:space="preserve"> 7.1.6 </t>
  </si>
  <si>
    <t xml:space="preserve"> 7.2 </t>
  </si>
  <si>
    <t xml:space="preserve"> 7.2.1 </t>
  </si>
  <si>
    <t xml:space="preserve"> 93671 </t>
  </si>
  <si>
    <t>DISJUNTOR TRIPOLAR TIPO DIN, CORRENTE NOMINAL DE 32A - FORNECIMENTO E INSTALAÇÃO. AF_10/2020</t>
  </si>
  <si>
    <t>Copia da SINAPI (93673) - DISJUNTOR TRIPOLAR TIPO DIN, CORRENTE NOMINAL DE 63A - FORNECIMENTO E INSTALAÇÃO. AF_10/2020</t>
  </si>
  <si>
    <t xml:space="preserve"> 7.2.2 </t>
  </si>
  <si>
    <t xml:space="preserve"> 90105 </t>
  </si>
  <si>
    <t xml:space="preserve"> 97881 </t>
  </si>
  <si>
    <t>CAIXA ENTERRADA ELÉTRICA RETANGULAR, EM CONCRETO PRÉ-MOLDADO, FUNDO COM BRITA, DIMENSÕES INTERNAS: 0,3X0,3X0,3 M. AF_12/2020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</si>
  <si>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</si>
  <si>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</si>
  <si>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7.2.3 </t>
  </si>
  <si>
    <t xml:space="preserve"> 91929 </t>
  </si>
  <si>
    <t>CABO DE COBRE FLEXÍVEL ISOLADO, 4 MM², ANTI-CHAMA 0,6/1,0 KV, PARA CIRCUITOS TERMINAIS - FORNECIMENTO E INSTALAÇÃO. AF_03/2023</t>
  </si>
  <si>
    <t xml:space="preserve"> 7.2.4 </t>
  </si>
  <si>
    <t xml:space="preserve"> 7.2.5 </t>
  </si>
  <si>
    <t xml:space="preserve"> 96985 </t>
  </si>
  <si>
    <t>HASTE DE ATERRAMENTO, DIÂMETRO 5/8", COM 3 METROS - FORNECIMENTO E INSTALAÇÃO. AF_08/2023</t>
  </si>
  <si>
    <t xml:space="preserve"> 87547 </t>
  </si>
  <si>
    <t xml:space="preserve"> 88489 </t>
  </si>
  <si>
    <t>PINTURA LÁTEX ACRÍLICA PREMIUM, APLICAÇÃO MANUAL EM PAREDES, DUAS DEMÃOS. AF_04/2023</t>
  </si>
  <si>
    <t xml:space="preserve"> 7.3 </t>
  </si>
  <si>
    <t>SISTEMA DE PROTEÇÃO CONTRA DESCARGAS ATMOSFÉRICAS - SPDA</t>
  </si>
  <si>
    <t xml:space="preserve"> 7.3.1 </t>
  </si>
  <si>
    <t>ATERRAMENTO</t>
  </si>
  <si>
    <t xml:space="preserve"> 7.3.2 </t>
  </si>
  <si>
    <t>CAPTOR</t>
  </si>
  <si>
    <t xml:space="preserve"> 7.3.3 </t>
  </si>
  <si>
    <t>CONDUTORES</t>
  </si>
  <si>
    <t xml:space="preserve"> 96977 </t>
  </si>
  <si>
    <t>CORDOALHA DE COBRE NU 50 MM², ENTERRADA - FORNECIMENTO E INSTALAÇÃO. AF_08/2023</t>
  </si>
  <si>
    <t xml:space="preserve"> 7.4 </t>
  </si>
  <si>
    <t xml:space="preserve"> 7.4.1 </t>
  </si>
  <si>
    <t xml:space="preserve"> 7.4.2 </t>
  </si>
  <si>
    <t xml:space="preserve"> 95808 </t>
  </si>
  <si>
    <t>CONDULETE DE PVC, TIPO LL, PARA ELETRODUTO DE PVC SOLDÁVEL DN 25 MM (3/4''), APARENTE - FORNECIMENTO E INSTALAÇÃO. AF_10/2022</t>
  </si>
  <si>
    <t xml:space="preserve"> 7.4.3 </t>
  </si>
  <si>
    <t>CABOS DE REDE</t>
  </si>
  <si>
    <t xml:space="preserve"> 7.4.4 </t>
  </si>
  <si>
    <t xml:space="preserve"> 7.4.5 </t>
  </si>
  <si>
    <t xml:space="preserve"> 7.5 </t>
  </si>
  <si>
    <t xml:space="preserve"> 7.5.1 </t>
  </si>
  <si>
    <t xml:space="preserve"> 7.6 </t>
  </si>
  <si>
    <t xml:space="preserve"> 7.6.1 </t>
  </si>
  <si>
    <t xml:space="preserve"> 8.1 </t>
  </si>
  <si>
    <t xml:space="preserve"> 8.1.1 </t>
  </si>
  <si>
    <t xml:space="preserve"> 8.1.2 </t>
  </si>
  <si>
    <t xml:space="preserve"> 8.1.3 </t>
  </si>
  <si>
    <t xml:space="preserve"> 8.1.4 </t>
  </si>
  <si>
    <t xml:space="preserve"> 8.2 </t>
  </si>
  <si>
    <t xml:space="preserve"> 8.2.1 </t>
  </si>
  <si>
    <t xml:space="preserve"> 8.2.2 </t>
  </si>
  <si>
    <t xml:space="preserve"> 8.2.3 </t>
  </si>
  <si>
    <t xml:space="preserve"> 8.2.4 </t>
  </si>
  <si>
    <t xml:space="preserve"> 8.2.5 </t>
  </si>
  <si>
    <t xml:space="preserve"> 9.1 </t>
  </si>
  <si>
    <t xml:space="preserve"> 101909 </t>
  </si>
  <si>
    <t>EXTINTOR DE INCÊNDIO PORTÁTIL COM CARGA DE PQS DE 6 KG, CLASSE BC - FORNECIMENTO E INSTALAÇÃO. AF_10/2020_PE</t>
  </si>
  <si>
    <t xml:space="preserve"> 97599 </t>
  </si>
  <si>
    <t xml:space="preserve"> COMP-1301 </t>
  </si>
  <si>
    <t>PLACA DE SINALIZACAO DE SEGURANCA CONTRA INCENDIO, FOTOLUMINESCENTE, QUADRADA, *20 X 20* CM, EM PVC *2* MM ANTI-CHAMAS (SIMBOLOS, CORES E PICTOGRAMAS CONFORME NBR 13434)</t>
  </si>
  <si>
    <t xml:space="preserve"> 9.2 </t>
  </si>
  <si>
    <t xml:space="preserve"> 101162 </t>
  </si>
  <si>
    <t>ALVENARIA DE VEDAÇÃO COM ELEMENTO VAZADO DE CERÂMICA (COBOGÓ) DE 7X20X20CM E ARGAMASSA DE ASSENTAMENTO COM PREPARO EM BETONEIRA. AF_05/2020</t>
  </si>
  <si>
    <t xml:space="preserve"> 10.1 </t>
  </si>
  <si>
    <t xml:space="preserve"> 10.2 </t>
  </si>
  <si>
    <t xml:space="preserve"> 11.1 </t>
  </si>
  <si>
    <t xml:space="preserve"> COMP-1513 </t>
  </si>
  <si>
    <t>Copia de SINAPI 11/2018 (9537) - LIMPEZA FINAL DA OBRA</t>
  </si>
  <si>
    <t xml:space="preserve"> 11.2 </t>
  </si>
  <si>
    <t xml:space="preserve"> COMP-1282 </t>
  </si>
  <si>
    <t>ART DE OBRA OU SERVIÇO - VALOR CONTRATO ACIMA DE 15.000,00 - CREA DF</t>
  </si>
  <si>
    <t>Copia da SINAPI (84122) - PLACA INAUGURACAO EM ALUMINIO 0,40X0,60M FORNECIMENTO E COLOCACAO</t>
  </si>
  <si>
    <t>Total Geral</t>
  </si>
  <si>
    <t>SBC</t>
  </si>
  <si>
    <t>ORSE</t>
  </si>
  <si>
    <t xml:space="preserve"> 00021071 </t>
  </si>
  <si>
    <t>TAMPAO FOFO SIMPLES COM BASE / REQUADRO, CLASSE A15 CARGA MAX. 1,5 T, 400 X 400 MM (COM INSCRICAO EM RELEVO DO TIPO DE REDE)</t>
  </si>
  <si>
    <t>Tê horizontal 50 x 50 mm para eletrocalha metálica (ref. Mopa ou similar)</t>
  </si>
  <si>
    <t xml:space="preserve">MEMÓRIA DE CÁLCULO DO BDI - OBRA </t>
  </si>
  <si>
    <t>MEMÓRIA DE CÁLCULO DO BDI – EQUIPAMENTOS</t>
  </si>
  <si>
    <t>BDI ESTABELECIDO PARA ESTE PROJETO</t>
  </si>
  <si>
    <t>BDI  ESTABELECIDO PARA ESTE PROJETO</t>
  </si>
  <si>
    <t>BDI APLICADO AO PROJETO - BASEADO MANUAL DE ORIENTAÇÕES PARA ELABORAÇÃO DE PLANILHAS ORÇAMENTÁRIAS DE OBRAS PÚBLICAS – TCU (2014) E RELATÓRIO DO ACORDÃO Nº 2.622/2013.</t>
  </si>
  <si>
    <t>DISCRIMINAÇÃO</t>
  </si>
  <si>
    <t xml:space="preserve">TAXA % 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</si>
  <si>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</si>
  <si>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</si>
  <si>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</si>
  <si>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</si>
  <si>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</si>
  <si>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</si>
  <si>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</si>
  <si>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</si>
  <si>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</si>
  <si>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</si>
  <si>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</si>
  <si>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</si>
  <si>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</si>
  <si>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Despesas Financeiras</t>
  </si>
  <si>
    <t>Taxa representativa de incidências de impostos (I)</t>
  </si>
  <si>
    <t>06</t>
  </si>
  <si>
    <t xml:space="preserve">COFINS - Contribuição para o Financiamento da Seguridade Social </t>
  </si>
  <si>
    <t>07</t>
  </si>
  <si>
    <t xml:space="preserve">PIS - Programa de Integração Social </t>
  </si>
  <si>
    <t>08</t>
  </si>
  <si>
    <t xml:space="preserve">ISS - Imposto Sobre Serviço de Qualquer Natureza </t>
  </si>
  <si>
    <t>09</t>
  </si>
  <si>
    <t>Lucro</t>
  </si>
  <si>
    <t>SUBTOTAL - (L)</t>
  </si>
  <si>
    <t>BDI NÃO DESONERADO</t>
  </si>
  <si>
    <t>ARMAÇÃO DE BLOCO, VIGA BALDRAME E SAPATA UTILIZANDO AÇO CA-60 DE 5 MM - MONTAGEM. AF_06/2017</t>
  </si>
  <si>
    <t>BENEFÍCIOS E DESPESAS INDIRETAS</t>
  </si>
  <si>
    <t xml:space="preserve"> 101658 </t>
  </si>
  <si>
    <t xml:space="preserve"> 7.6.2 </t>
  </si>
  <si>
    <t xml:space="preserve"> 7.7 </t>
  </si>
  <si>
    <t xml:space="preserve"> 7.7.1 </t>
  </si>
  <si>
    <t>INSTALAÇÕES HIDROSSANITÁRIAS</t>
  </si>
  <si>
    <t>VALOR DA OBRA</t>
  </si>
  <si>
    <r>
      <rPr>
        <b/>
        <sz val="18"/>
        <rFont val="Arial"/>
        <family val="2"/>
      </rPr>
      <t>Objeto:</t>
    </r>
    <r>
      <rPr>
        <sz val="18"/>
        <rFont val="Arial"/>
        <family val="2"/>
      </rPr>
      <t xml:space="preserve"> Construção do Galpão do Cesma</t>
    </r>
  </si>
  <si>
    <r>
      <rPr>
        <b/>
        <sz val="18"/>
        <rFont val="Arial"/>
        <family val="2"/>
      </rPr>
      <t>Data-base SINAPI:</t>
    </r>
    <r>
      <rPr>
        <sz val="18"/>
        <rFont val="Arial"/>
        <family val="2"/>
      </rPr>
      <t xml:space="preserve">  07/2025</t>
    </r>
  </si>
  <si>
    <r>
      <t xml:space="preserve">Prazo de execução: </t>
    </r>
    <r>
      <rPr>
        <sz val="18"/>
        <rFont val="Arial"/>
        <family val="2"/>
      </rPr>
      <t>6 meses</t>
    </r>
  </si>
  <si>
    <r>
      <t xml:space="preserve">Local: </t>
    </r>
    <r>
      <rPr>
        <sz val="18"/>
        <rFont val="Arial"/>
        <family val="2"/>
      </rPr>
      <t>SPO Área Especial s/n, Complexo ABMIL Lote 03, Setores Complementares - Brasília-DF</t>
    </r>
  </si>
  <si>
    <t>CRONOGRAMA FÍSICO-FINANCEIRO</t>
  </si>
  <si>
    <t>DRENAGEM PLUVIAL</t>
  </si>
  <si>
    <t>FUNDAÇÃO E ESTRUTURA</t>
  </si>
  <si>
    <t>INSTALAÇÕES DE PREVENÇÃO E COMBATE A INCÊNDIO E PÂNICO</t>
  </si>
  <si>
    <t>EQUIPAMENTOS E ITENS DE MERO FORNECIMENTO (INCIDE BDI DIFERENCIADO)</t>
  </si>
  <si>
    <t>VALOR ORÇAMENTO</t>
  </si>
  <si>
    <t xml:space="preserve"> 012689 </t>
  </si>
  <si>
    <t>MOBILIZACAO E DESMOBILIZACAO DE CANTEIRO</t>
  </si>
  <si>
    <t xml:space="preserve"> 1.2.2 </t>
  </si>
  <si>
    <t xml:space="preserve"> 1.2.3 </t>
  </si>
  <si>
    <t xml:space="preserve"> 1.2.4 </t>
  </si>
  <si>
    <t xml:space="preserve"> 1.2.5 </t>
  </si>
  <si>
    <t>LASTRO DE CONCRETO MAGRO, APLICADO EM PISOS, LAJES SOBRE SOLO OU RADIERS, ESPESSURA DE 3 CM. AF_07/2016</t>
  </si>
  <si>
    <t xml:space="preserve"> 1.3 </t>
  </si>
  <si>
    <t xml:space="preserve"> 1.3.1 </t>
  </si>
  <si>
    <t xml:space="preserve"> 1.3.2 </t>
  </si>
  <si>
    <t xml:space="preserve"> 1.4 </t>
  </si>
  <si>
    <t xml:space="preserve"> 1.4.1 </t>
  </si>
  <si>
    <t>TAPUME COM TELHA METÁLICA. AF_05/2018</t>
  </si>
  <si>
    <t xml:space="preserve"> 1.4.2 </t>
  </si>
  <si>
    <t xml:space="preserve"> 1.5 </t>
  </si>
  <si>
    <t>DEMOLIÇÃO E DESATIVAÇÃO DA TAÇA D´ÁGUA</t>
  </si>
  <si>
    <t xml:space="preserve"> 1.5.1 </t>
  </si>
  <si>
    <t xml:space="preserve"> 97625 </t>
  </si>
  <si>
    <t>DEMOLIÇÃO DE ALVENARIA PARA QUALQUER TIPO DE BLOCO, DE FORMA MECANIZADA, SEM REAPROVEITAMENTO. AF_09/2023</t>
  </si>
  <si>
    <t xml:space="preserve"> 1.5.2 </t>
  </si>
  <si>
    <t xml:space="preserve"> 97629 </t>
  </si>
  <si>
    <t>DEMOLIÇÃO DE LAJES, EM CONCRETO ARMADO, DE FORMA MECANIZADA COM MARTELETE, SEM REAPROVEITAMENTO. AF_09/2023</t>
  </si>
  <si>
    <t xml:space="preserve"> 1.5.3 </t>
  </si>
  <si>
    <t xml:space="preserve"> COMP-1753 </t>
  </si>
  <si>
    <t>REMOÇÃO TAÇA D'ÁGUA HIDRANTE GALPÃO CESMA</t>
  </si>
  <si>
    <t xml:space="preserve"> 1.5.4 </t>
  </si>
  <si>
    <t xml:space="preserve"> 1.6 </t>
  </si>
  <si>
    <t xml:space="preserve"> 1.6.1 </t>
  </si>
  <si>
    <t>LOCACAO CONVENCIONAL DE OBRA, UTILIZANDO GABARITO DE TÁBUAS CORRIDAS PONTALETADAS A CADA 2,00M -  2 UTILIZAÇÕES. AF_10/2018</t>
  </si>
  <si>
    <t xml:space="preserve"> 1.7 </t>
  </si>
  <si>
    <t>LIMPEZA DO TERRENO</t>
  </si>
  <si>
    <t xml:space="preserve"> 1.7.1 </t>
  </si>
  <si>
    <t>LIMPEZA MECANIZADA DE CAMADA VEGETAL, VEGETAÇÃO E PEQUENAS ÁRVORES (DIÂMETRO DE TRONCO MENOR QUE 0,20 M), COM TRATOR DE ESTEIRAS.AF_05/2018</t>
  </si>
  <si>
    <t xml:space="preserve"> 1.8 </t>
  </si>
  <si>
    <t>ESCAVAÇÃO PARA EXECUÇÃO DO MURO DE ARRIMO</t>
  </si>
  <si>
    <t xml:space="preserve"> 1.8.1 </t>
  </si>
  <si>
    <t xml:space="preserve"> 90091 </t>
  </si>
  <si>
    <t>ESCAVAÇÃO MECANIZADA DE VALA COM PROF. ATÉ 1,5 M (MÉDIA MONTANTE E JUSANTE/UMA COMPOSIÇÃO POR TRECHO), ESCAVADEIRA (0,8 M3), LARG. DE 1,5 M A 2,5 M, EM SOLO DE 1A CATEGORIA, LOCAIS COM BAIXO NÍVEL DE INTERFERÊNCIA. AF_09/2024</t>
  </si>
  <si>
    <t xml:space="preserve"> 1.8.2 </t>
  </si>
  <si>
    <t xml:space="preserve"> 104728 </t>
  </si>
  <si>
    <t>REATERRO MECANIZADO DE VALA COM ESCAVADEIRA HIDRÁULICA (CAPACIDADE DA CAÇAMBA: 0,8 M³/POTÊNCIA: 111 HP), LARGURA DE 1,5 A 2,5 M, PROFUNDIDADE ATÉ 1,5 M, COM SOLO (SEM SUBSTITUIÇÃO) DE 1ª CATEGORIA, COM PLACA VIBRATÓRIA. AF_08/2023</t>
  </si>
  <si>
    <t>TERRAPLENAGEM</t>
  </si>
  <si>
    <t>ESCAVAÇÃO PARA EXECUÇÃO DAS VIAS E PÁTIO</t>
  </si>
  <si>
    <t xml:space="preserve"> 2.1.1.1 </t>
  </si>
  <si>
    <t xml:space="preserve"> 101126 </t>
  </si>
  <si>
    <t>ESCAVAÇÃO HORIZONTAL, INCLUINDO CARGA E DESCARGA EM SOLO DE 1A CATEGORIA COM TRATOR DE ESTEIRAS (170HP/LÂMINA: 5,20M3). AF_07/2020</t>
  </si>
  <si>
    <t>ATERRO PARA CONSTRUÇÃO DA EDIFICAÇÃO</t>
  </si>
  <si>
    <t xml:space="preserve"> 2.1.2.1 </t>
  </si>
  <si>
    <t xml:space="preserve"> 101136 </t>
  </si>
  <si>
    <t>ESCAVAÇÃO HORIZONTAL, INCLUINDO CARGA, DESCARGA E TRANSPORTE EM SOLO DE 1A CATEGORIA COM TRATOR DE ESTEIRAS (170HP/LÂMINA: 5,20M3) E CAMINHÃO BASCULANTE DE 10M3, DMT ATÉ 200M. AF_07/2020</t>
  </si>
  <si>
    <t xml:space="preserve"> 2.1.2.2 </t>
  </si>
  <si>
    <t>EXECUÇÃO E COMPACTAÇÃO DE ATERRO COM SOLO PREDOMINANTEMENTE ARGILOSO - EXCLUSIVE SOLO, ESCAVAÇÃO, CARGA E TRANSPORTE. AF_11/2019</t>
  </si>
  <si>
    <t>TRANSPORTE DE MATERIAL PARA BOTA-FORA</t>
  </si>
  <si>
    <t xml:space="preserve"> 2.1.3.1 </t>
  </si>
  <si>
    <t xml:space="preserve"> 95880 </t>
  </si>
  <si>
    <t>TRANSPORTE COM CAMINHÃO BASCULANTE DE 18 M³, EM VIA URBANA PAVIMENTADA, DMT ATÉ 30 KM (UNIDADE: TXKM). AF_07/2020</t>
  </si>
  <si>
    <t>SERVIÇO TOPOGRÁFICO</t>
  </si>
  <si>
    <t xml:space="preserve"> 2.1.4.1 </t>
  </si>
  <si>
    <t xml:space="preserve"> CC.0248 </t>
  </si>
  <si>
    <t>SERVICOS TOPOGRAFICOS PARA PAVIMENTACAO, INCLUSIVE NOTA DE SERVICOS, ACOMPANHAMENTO E GREIDE</t>
  </si>
  <si>
    <t>REGULARIZAÇÃO E COMPACTAÇÃO DE SUBLEITO DE SOLO  PREDOMINANTEMENTE ARGILOSO. AF_11/2019</t>
  </si>
  <si>
    <t>EXECUÇÃO E COMPACTAÇÃO DE BASE E OU SUB-BASE PARA PAVIMENTAÇÃO DE SOLO (PREDOMINANTEMENTE ARGILOSO) BRITA - 50/50 - EXCLUSIVE SOLO, ESCAVAÇÃO, CARGA E TRANSPORTE. AF_11/2019</t>
  </si>
  <si>
    <t>PAVIMENTO INTERTRAVADO</t>
  </si>
  <si>
    <t xml:space="preserve"> 92394 </t>
  </si>
  <si>
    <t>EXECUÇÃO DE PAVIMENTO EM PISO INTERTRAVADO, COM BLOCO SEXTAVADO DE 25 X 25 CM, ESPESSURA 8 CM. AF_10/2022</t>
  </si>
  <si>
    <t xml:space="preserve"> 2.3 </t>
  </si>
  <si>
    <t>MEIO-FIO</t>
  </si>
  <si>
    <t xml:space="preserve"> 2.3.1 </t>
  </si>
  <si>
    <t>ASSENTAMENTO DE GUIA (MEIO-FIO) EM TRECHO CURVO, CONFECCIONADA EM CONCRETO PRÉ-FABRICADO, DIMENSÕES 100X15X13X30 CM (COMPRIMENTO X BASE INFERIOR X BASE SUPERIOR X ALTURA), PARA VIAS URBANAS (USO VIÁRIO). AF_06/2016</t>
  </si>
  <si>
    <t xml:space="preserve"> 2.3.2 </t>
  </si>
  <si>
    <t>ASSENTAMENTO DE GUIA (MEIO-FIO) EM TRECHO RETO, CONFECCIONADA EM CONCRETO PRÉ-FABRICADO, DIMENSÕES 100X15X13X30 CM (COMPRIMENTO X BASE INFERIOR X BASE SUPERIOR X ALTURA), PARA VIAS URBANAS (USO VIÁRIO). AF_06/2016</t>
  </si>
  <si>
    <t xml:space="preserve"> 2.3.3 </t>
  </si>
  <si>
    <t xml:space="preserve"> 2.4 </t>
  </si>
  <si>
    <t>PLANTIO DE GRAMA</t>
  </si>
  <si>
    <t xml:space="preserve"> 2.4.1 </t>
  </si>
  <si>
    <t>PLANTIO DE GRAMA BATATAIS EM PLACAS. AF_05/2018</t>
  </si>
  <si>
    <t xml:space="preserve"> 2.5 </t>
  </si>
  <si>
    <t>DEMOLIÇÕES</t>
  </si>
  <si>
    <t xml:space="preserve"> 2.5.1 </t>
  </si>
  <si>
    <t xml:space="preserve"> COMP-1754 </t>
  </si>
  <si>
    <t>DEMOLIÇÃO PAVIMENTO INTERTRAVADO, DE FORMA MECANIZADA, SEM REAPROVEITAMENTO. (Adaptado Sinapi 97636)</t>
  </si>
  <si>
    <t xml:space="preserve"> 2.5.2 </t>
  </si>
  <si>
    <t xml:space="preserve"> 97636 </t>
  </si>
  <si>
    <t>DEMOLIÇÃO PARCIAL DE PAVIMENTO ASFÁLTICO, DE FORMA MECANIZADA, SEM REAPROVEITAMENTO. AF_09/2023</t>
  </si>
  <si>
    <t xml:space="preserve"> 2.5.3 </t>
  </si>
  <si>
    <t>DEMOLIÇÃO DE LAJES, EM CONCRETO ARMADO, DE FORMA MECANIZADA COM MARTELETE, SEM REAPROVEITAMENTO. AF_09/2023  -   RAMPA DE ELEVAÇÃO AO LADO DO GALPÃO ANTIGO</t>
  </si>
  <si>
    <t xml:space="preserve"> 2.5.4 </t>
  </si>
  <si>
    <t>DREANGEM INFRA</t>
  </si>
  <si>
    <t xml:space="preserve"> 97956 </t>
  </si>
  <si>
    <t>CAIXA PARA BOCA DE LOBO SIMPLES RETANGULAR, EM ALVENARIA COM BLOCOS DE CONCRETO, DIMENSÕES INTERNAS: 0,6X1X1,2 M. AF_12/2020</t>
  </si>
  <si>
    <t xml:space="preserve"> 99275 </t>
  </si>
  <si>
    <t>BASE PARA POÇO DE VISITA CIRCULAR PARA DRENAGEM, EM CONCRETO PRÉ-MOLDADO, DIÂMETRO INTERNO = 0,80 M, PROFUNDIDADE = 1,35 M, EXCLUINDO TAMPÃO. AF_12/2020_PA</t>
  </si>
  <si>
    <t xml:space="preserve"> 98115 </t>
  </si>
  <si>
    <t>TAMPA CIRCULAR PARA ESGOTO E DRENAGEM, EM CONCRETO PRÉ-MOLDADO, DIÂMETRO INTERNO = 0,60 M E ALTURA = 0,10 M. AF_12/2020</t>
  </si>
  <si>
    <t>TUBO DE CONCRETO PARA REDES COLETORAS DE ÁGUAS PLUVIAIS, DIÂMETRO DE 400 MM, JUNTA RÍGIDA, INSTALADO EM LOCAL COM BAIXO NÍVEL DE INTERFERÊNCIAS - FORNECIMENTO E ASSENTAMENTO. AF_12/2015</t>
  </si>
  <si>
    <t>LOCAÇÃO DE REDE DE ÁGUA OU ESGOTO. AF_10/2018</t>
  </si>
  <si>
    <t xml:space="preserve"> 90730 </t>
  </si>
  <si>
    <t>JUNTA ARGAMASSADA ENTRE TUBO DN 400 MM E O POÇO DE VISITA/ CAIXA DE CONCRETO OU ALVENARIA EM REDES DE ESGOTO. AF_01/2021</t>
  </si>
  <si>
    <t xml:space="preserve"> 3.1.8 </t>
  </si>
  <si>
    <t>TUBO DE CONCRETO PARA REDES COLETORAS DE ÁGUAS PLUVIAIS, DIÂMETRO DE 600 MM, JUNTA RÍGIDA, INSTALADO EM LOCAL COM BAIXO NÍVEL DE INTERFERÊNCIAS - FORNECIMENTO E ASSENTAMENTO. AF_12/2015</t>
  </si>
  <si>
    <t xml:space="preserve"> 3.1.9 </t>
  </si>
  <si>
    <t xml:space="preserve"> 90732 </t>
  </si>
  <si>
    <t>JUNTA ARGAMASSADA ENTRE TUBO DN 600 MM E O POÇO DE VISITA/ CAIXA DE CONCRETO OU ALVENARIA EM REDES DE ESGOTO. AF_01/2021</t>
  </si>
  <si>
    <t xml:space="preserve"> 3.1.10 </t>
  </si>
  <si>
    <t xml:space="preserve"> 3.1.11 </t>
  </si>
  <si>
    <t>ESCAVAÇÃO MECANIZADA DE VALA COM PROF. ATÉ 1,5 M (MÉDIA MONTANTE E JUSANTE/UMA COMPOSIÇÃO POR TRECHO), ESCAVADEIRA (0,8 M3),LARG. MENOR QUE 1,5 M, EM SOLO DE 1A CATEGORIA, LOCAIS COM BAIXO NÍVEL DE INTERFERÊNCIA. AF_02/2021</t>
  </si>
  <si>
    <t xml:space="preserve"> 3.1.12 </t>
  </si>
  <si>
    <t xml:space="preserve"> 93367 </t>
  </si>
  <si>
    <t>REATERRO MECANIZADO DE VALA COM ESCAVADEIRA HIDRÁULICA (CAPACIDADE DA CAÇAMBA: 0,8 M³/POTÊNCIA: 111 HP), LARGURA DE 1,5 A 2,5 M, PROFUNDIDADE ATÉ 1,5 M, COM SOLO (SEM SUBSTITUIÇÃO) DE 1ª CATEGORIA, COM COMPACTADOR DE SOLOS DE PERCUSSÃO. AF_08/2023</t>
  </si>
  <si>
    <t xml:space="preserve"> 3.1.13 </t>
  </si>
  <si>
    <t xml:space="preserve"> 101849 </t>
  </si>
  <si>
    <t>RECOMPOSIÇÃO DE BASE E OU SUB-BASE PARA FECHAMENTO DE VALAS DE BRITA GRADUADA SIMPLES - INCLUSO RETIRADA E COLOCAÇÃO DO MATERIAL. AF_12/2020</t>
  </si>
  <si>
    <t xml:space="preserve"> 3.1.14 </t>
  </si>
  <si>
    <t xml:space="preserve"> 102098 </t>
  </si>
  <si>
    <t>RECOMPOSIÇÃO DE REVESTIMENTO EM CONCRETO ASFÁLTICO (AQUISIÇÃO EM USINA), PARA O FECHAMENTO DE VALAS - INCLUSO DEMOLIÇÃO DO PAVIMENTO. AF_12/2020</t>
  </si>
  <si>
    <t xml:space="preserve"> 3.1.15 </t>
  </si>
  <si>
    <t xml:space="preserve"> 101570 </t>
  </si>
  <si>
    <t>ESCORAMENTO DE VALA, TIPO PONTALETEAMENTO, COM PROFUNDIDADE DE 0 A 1,5 M, LARGURA MENOR QUE 1,5 M. AF_08/2020</t>
  </si>
  <si>
    <t>PLUVIAL GALPÃO</t>
  </si>
  <si>
    <t xml:space="preserve"> COMP-1814 </t>
  </si>
  <si>
    <t>CAIXA ENTERRADA RETENTORA DE AREIA RETANGULAR, EM ALVENARIA COM BLOCOS DE CONCRETO, DIMENSÕES INTERNAS: 0,60 X 0,60 X 1,20 M, EXCLUINDO TAMPÃO. Adaptado da SINAPI (101802)</t>
  </si>
  <si>
    <t xml:space="preserve"> 89576 </t>
  </si>
  <si>
    <t>TUBO PVC, SÉRIE R, ÁGUA PLUVIAL, DN 75 MM, FORNECIDO E INSTALADO EM CONDUTORES VERTICAIS DE ÁGUAS PLUVIAIS. AF_06/2022</t>
  </si>
  <si>
    <t xml:space="preserve"> 89581 </t>
  </si>
  <si>
    <t>JOELHO 90 GRAUS, PVC, SERIE R, ÁGUA PLUVIAL, DN 75 MM, JUNTA ELÁSTICA, FORNECIDO E INSTALADO EM CONDUTORES VERTICAIS DE ÁGUAS PLUVIAIS. AF_06/2022</t>
  </si>
  <si>
    <t xml:space="preserve"> 3.2.6 </t>
  </si>
  <si>
    <t xml:space="preserve"> 89582 </t>
  </si>
  <si>
    <t>JOELHO 45 GRAUS, PVC, SERIE R, ÁGUA PLUVIAL, DN 75 MM, JUNTA ELÁSTICA, FORNECIDO E INSTALADO EM CONDUTORES VERTICAIS DE ÁGUAS PLUVIAIS. AF_06/2022</t>
  </si>
  <si>
    <t xml:space="preserve"> 3.2.7 </t>
  </si>
  <si>
    <t xml:space="preserve"> 3.2.8 </t>
  </si>
  <si>
    <t xml:space="preserve"> COMP-1815 </t>
  </si>
  <si>
    <t>TUBO DE PEAD CORRUGADO DE DUPLA PAREDE PARA REDE DE DRENAGEM, DN 200 MM, JUNTA ELÁSTICA INTEGRADA - FORNECIMENTO E ASSENTAMENTO. Adaptado da SINAPI (94869)</t>
  </si>
  <si>
    <t xml:space="preserve"> 3.2.9 </t>
  </si>
  <si>
    <t xml:space="preserve"> 061280 </t>
  </si>
  <si>
    <t>GRELHA HEMISFERICA FLEXIVEL 88x100mm</t>
  </si>
  <si>
    <t xml:space="preserve"> 3.2.10 </t>
  </si>
  <si>
    <t xml:space="preserve"> 94869 </t>
  </si>
  <si>
    <t>TUBO DE PEAD CORRUGADO DE DUPLA PAREDE PARA REDE COLETORA DE ESGOTO, DN 250 MM, JUNTA ELÁSTICA INTEGRADA - FORNECIMENTO E ASSENTAMENTO. AF_01/2021</t>
  </si>
  <si>
    <t xml:space="preserve"> 3.2.11 </t>
  </si>
  <si>
    <t xml:space="preserve"> 90725 </t>
  </si>
  <si>
    <t>JUNTA ARGAMASSADA ENTRE TUBO DN 150 MM E O POÇO DE VISITA/ CAIXA DE CONCRETO OU ALVENARIA EM REDES DE ESGOTO. AF_01/2021</t>
  </si>
  <si>
    <t xml:space="preserve"> 3.2.12 </t>
  </si>
  <si>
    <t xml:space="preserve"> 90726 </t>
  </si>
  <si>
    <t>JUNTA ARGAMASSADA ENTRE TUBO DN 200 MM E O POÇO/ CAIXA DE CONCRETO OU ALVENARIA EM REDES DE ESGOTO. AF_01/2021</t>
  </si>
  <si>
    <t xml:space="preserve"> 3.2.13 </t>
  </si>
  <si>
    <t xml:space="preserve"> 3.2.14 </t>
  </si>
  <si>
    <t xml:space="preserve"> 3.2.15 </t>
  </si>
  <si>
    <t xml:space="preserve"> 3.2.16 </t>
  </si>
  <si>
    <t xml:space="preserve"> 104737 </t>
  </si>
  <si>
    <t>REATERRO MANUAL DE VALAS, COM PLACA VIBRATÓRIA. AF_08/2023</t>
  </si>
  <si>
    <t>CANALETA EM CONCRETO COM GRELHA</t>
  </si>
  <si>
    <t xml:space="preserve"> COMP-2004 </t>
  </si>
  <si>
    <t>Copia da SINAPI (96557) - CONCRETAGEM DE CANALETAS, FCK 20 MPA, COM USO DE BOMBA  LANÇAMENTO, ADENSAMENTO E ACABAMENTO. AF_06/2017</t>
  </si>
  <si>
    <t>ESCAVAÇÃO MANUAL DE VALA COM PROFUNDIDADE MENOR OU IGUAL A 1,30 M. AF_02/2021</t>
  </si>
  <si>
    <t xml:space="preserve"> 3.3.3 </t>
  </si>
  <si>
    <t xml:space="preserve"> 3.3.4 </t>
  </si>
  <si>
    <t xml:space="preserve"> COMP-2005 </t>
  </si>
  <si>
    <t>Copia da SINAPI (103001) - GRELHA DE FERRO FUNDIDO - BARRA CHATA 5/8" x 1/4 E CAIXILHO METÁLICO TIPO CANTONEIRA 3/4" x 3/4" x 1/8", ASSENTADA COM ARGAMASSA 1 : 3 CIMENTO: AREIA - FORNECIMENTO E INSTALAÇÃO. AF_08/2021</t>
  </si>
  <si>
    <t xml:space="preserve"> 3.3.5 </t>
  </si>
  <si>
    <t xml:space="preserve"> COMP-2003 </t>
  </si>
  <si>
    <t>Copia da SINAPI (97090) - ARMAÇÃO PARA CANALETA COM USO DE TELA Q-138. AF_09/2021</t>
  </si>
  <si>
    <t xml:space="preserve"> 3.3.6 </t>
  </si>
  <si>
    <t xml:space="preserve"> COMP-2006 </t>
  </si>
  <si>
    <t>Copia da SINAPI (96536) - FABRICAÇÃO, MONTAGEM E DESMONTAGEM DE FÔRMA PARA CANALETA EM MADEIRA SERRADA, E=25 MM, 4 UTILIZAÇÕES. AF_06/2017</t>
  </si>
  <si>
    <t xml:space="preserve"> 3.3.7 </t>
  </si>
  <si>
    <t xml:space="preserve"> 3.4 </t>
  </si>
  <si>
    <t>RELOCAÇÃO REDE DE ESGOTO</t>
  </si>
  <si>
    <t xml:space="preserve"> 3.4.1 </t>
  </si>
  <si>
    <t xml:space="preserve"> 90694 </t>
  </si>
  <si>
    <t>TUBO DE PVC PARA REDE COLETORA DE ESGOTO DE PAREDE MACIÇA, DN 100 MM, JUNTA ELÁSTICA - FORNECIMENTO E ASSENTAMENTO. AF_01/2021</t>
  </si>
  <si>
    <t xml:space="preserve"> 3.4.2 </t>
  </si>
  <si>
    <t xml:space="preserve"> 3.4.3 </t>
  </si>
  <si>
    <t xml:space="preserve"> 3.4.4 </t>
  </si>
  <si>
    <t xml:space="preserve"> 3.4.5 </t>
  </si>
  <si>
    <t xml:space="preserve"> 3.4.6 </t>
  </si>
  <si>
    <t>MURO DE ARRIMO</t>
  </si>
  <si>
    <t xml:space="preserve"> COMP-1894 </t>
  </si>
  <si>
    <t>Copia da SINAPI (101174) - ESTACA BROCA DE CONCRETO, DIÂMETRO DE 25CM, ESCAVAÇÃO MANUAL COM TRADO CONCHA. AF_05/2020</t>
  </si>
  <si>
    <t xml:space="preserve"> 95577 </t>
  </si>
  <si>
    <t>MONTAGEM DE ARMADURA DE ESTACAS, DIÂMETRO = 10,0 MM. AF_09/2021_PS</t>
  </si>
  <si>
    <t>GALPÃO</t>
  </si>
  <si>
    <t xml:space="preserve"> 4.1.2.1.1 </t>
  </si>
  <si>
    <t xml:space="preserve"> 4.1.2.1.2 </t>
  </si>
  <si>
    <t xml:space="preserve"> 4.1.2.1.3 </t>
  </si>
  <si>
    <t xml:space="preserve"> 4.1.2.1.4 </t>
  </si>
  <si>
    <t>RADIER</t>
  </si>
  <si>
    <t xml:space="preserve"> 4.1.2.2.1 </t>
  </si>
  <si>
    <t>ESCAVAÇÃO MECANIZADA PARA VIGA BALDRAME COM MINI-ESCAVADEIRA (INCLUINDO ESCAVAÇÃO PARA COLOCAÇÃO DE FÔRMAS). AF_06/2017</t>
  </si>
  <si>
    <t xml:space="preserve"> 4.1.2.2.2 </t>
  </si>
  <si>
    <t>FABRICAÇÃO, MONTAGEM E DESMONTAGEM DE FÔRMA PARA VIGA BALDRAME, EM MADEIRA SERRADA, E=25 MM, 4 UTILIZAÇÕES. AF_06/2017</t>
  </si>
  <si>
    <t xml:space="preserve"> 4.1.2.2.3 </t>
  </si>
  <si>
    <t xml:space="preserve"> 4.1.2.2.4 </t>
  </si>
  <si>
    <t>ARMAÇÃO DE BLOCO, VIGA BALDRAME OU SAPATA UTILIZANDO AÇO CA-50 DE 10 MM - MONTAGEM. AF_06/2017</t>
  </si>
  <si>
    <t xml:space="preserve"> 4.1.2.2.5 </t>
  </si>
  <si>
    <t xml:space="preserve"> 4.1.2.2.6 </t>
  </si>
  <si>
    <t xml:space="preserve"> 4.1.2.2.7 </t>
  </si>
  <si>
    <t xml:space="preserve"> COMP-1895 </t>
  </si>
  <si>
    <t>Copia da SINAPI (97096) - CONCRETAGEM DE RADIER, PISO DE CONCRETO OU LAJE SOBRE SOLO, FCK 25 MPA - LANÇAMENTO, ADENSAMENTO E ACABAMENTO. AF_09/2021</t>
  </si>
  <si>
    <t xml:space="preserve"> 4.1.2.2.8 </t>
  </si>
  <si>
    <t xml:space="preserve"> 100324 </t>
  </si>
  <si>
    <t>LASTRO COM MATERIAL GRANULAR (PEDRA BRITADA N.1 E PEDRA BRITADA N.2), APLICADO EM PISOS OU LAJES SOBRE SOLO, ESPESSURA DE *10 CM*. AF_07/2019</t>
  </si>
  <si>
    <t xml:space="preserve"> 4.1.2.2.9 </t>
  </si>
  <si>
    <t xml:space="preserve"> CC.0286 </t>
  </si>
  <si>
    <t>IMPERMEABILIZACAO DE ESTRUTURAS ENTERRADAS, COM TINTA ASFALTICA, DUAS DEMAOS.</t>
  </si>
  <si>
    <t xml:space="preserve"> 100341 </t>
  </si>
  <si>
    <t>FABRICAÇÃO, MONTAGEM E DESMONTAGEM DE FÔRMA PARA CORTINA DE CONTENÇÃO, EM CHAPA DE MADEIRA COMPENSADA PLASTIFICADA, E = 18 MM, 10 UTILIZAÇÕES. AF_07/2019</t>
  </si>
  <si>
    <t xml:space="preserve"> 92915 </t>
  </si>
  <si>
    <t>ARMAÇÃO DE ESTRUTURAS DIVERSAS DE CONCRETO ARMADO, EXCETO VIGAS, PILARES, LAJES E FUNDAÇÕES, UTILIZANDO AÇO CA-60 DE 5,0 MM - MONTAGEM. AF_06/2022</t>
  </si>
  <si>
    <t xml:space="preserve"> 92917 </t>
  </si>
  <si>
    <t>ARMAÇÃO DE ESTRUTURAS DIVERSAS DE CONCRETO ARMADO, EXCETO VIGAS, PILARES, LAJES E FUNDAÇÕES, UTILIZANDO AÇO CA-50 DE 8,0 MM - MONTAGEM. AF_06/2022</t>
  </si>
  <si>
    <t xml:space="preserve"> 92919 </t>
  </si>
  <si>
    <t>ARMAÇÃO DE ESTRUTURAS DIVERSAS DE CONCRETO ARMADO, EXCETO VIGAS, PILARES, LAJES E FUNDAÇÕES, UTILIZANDO AÇO CA-50 DE 10,0 MM - MONTAGEM. AF_06/2022</t>
  </si>
  <si>
    <t xml:space="preserve"> 4.2.1.7 </t>
  </si>
  <si>
    <t xml:space="preserve"> 103685 </t>
  </si>
  <si>
    <t>CONCRETAGEM DE MURETAS, FCK=25 MPA, COM USO DE BOMBA - LANÇAMENTO, ADENSAMENTO E ACABAMENTO. AF_02/2022_PS</t>
  </si>
  <si>
    <t xml:space="preserve"> 4.2.1.8 </t>
  </si>
  <si>
    <t xml:space="preserve"> 00010527 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</si>
  <si>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</si>
  <si>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M/MES</t>
  </si>
  <si>
    <t xml:space="preserve"> 4.2.1.9 </t>
  </si>
  <si>
    <t xml:space="preserve"> 97064 </t>
  </si>
  <si>
    <t>MONTAGEM E DESMONTAGEM DE ANDAIME TUBULAR TIPO TORRE (EXCLUSIVE ANDAIME E LIMPEZA). AF_11/2017</t>
  </si>
  <si>
    <t xml:space="preserve"> 4.2.1.10 </t>
  </si>
  <si>
    <t xml:space="preserve"> 102489 </t>
  </si>
  <si>
    <t>PINTURA HIDROFUGANTE COM SILICONE, APLICAÇÃO MANUAL, 2 DEMÃOS. AF_05/2021</t>
  </si>
  <si>
    <t xml:space="preserve"> COMP-2009 </t>
  </si>
  <si>
    <t>Copia da SINAPI (104314) - TRAMA DE AÇO COMPOSTA POR TERÇAS PARA TELHADOS PARA TELHA METÁLICA E POLICARBONATO, TRANSPORTE E IÇAMENTO UTILIZANDO GUINDASTE. AF_07/2019</t>
  </si>
  <si>
    <t xml:space="preserve"> COMP-2010 </t>
  </si>
  <si>
    <t>Copia da SINAPI (100774) - ESTRUTURA TRELIÇADA DE COBERTURA, TIPO SHED, COM LIGAÇÕES SOLDADAS, INCLUSOS PERFIS METÁLICOS, CHAPAS METÁLICAS, MÃO DE OBRA E TRANSPORTE COM GUINDASTE - FORNECIMENTO E INSTALAÇÃO. AF_01/2020_PSA</t>
  </si>
  <si>
    <t xml:space="preserve"> COMP-2011 </t>
  </si>
  <si>
    <t>Copia da SINAPI (100775) - ESTRUTURA TRELIÇADA DE COBERTURA, TIPO FINK, COM LIGAÇÕES SOLDADAS, INCLUSOS PERFIS METÁLICOS, CHAPAS METÁLICAS, MÃO DE OBRA E TRANSPORTE COM GUINDASTE - FORNECIMENTO E INSTALAÇÃO. AF_01/2020_PSA</t>
  </si>
  <si>
    <t xml:space="preserve"> COMP-2008 </t>
  </si>
  <si>
    <t>Copia da SINAPI (100766) - PILAR METÁLICO PERFIL LAMINADO OU SOLDADO EM AÇO ESTRUTURAL, COM CONEXÕES SOLDADAS, INCLUSOS MÃO DE OBRA, TRANSPORTE E IÇAMENTO UTILIZANDO GUINDASTE - FORNECIMENTO E INSTALAÇÃO. AF_01/2020_PA</t>
  </si>
  <si>
    <t xml:space="preserve"> COMP-1896 </t>
  </si>
  <si>
    <t>Copia da SINAPI (100772) - TRAVAMENTO DE PAREDES COM CANTONEIRAS DE AÇO, ABAS IGUAIS, COM CONEXÕES SOLDADAS, INCLUSOS MÃO DE OBRA, TRANSPORTE E IÇAMENTO - FORNECIMENTO E INSTALAÇÃO. AF_01/2020_PA</t>
  </si>
  <si>
    <t xml:space="preserve"> COMP-1897 </t>
  </si>
  <si>
    <t>Copia da SINAPI (100764) - VIGA METÁLICA EM PERFIL LAMINADO OU SOLDADO EM AÇO ESTRUTURAL, COM CONEXÕES SOLDADAS, INCLUSOS MÃO DE OBRA, TRANSPORTE E IÇAMENTO UTILIZANDO GUINDASTE - FORNECIMENTO E INSTALAÇÃO. AF_01/2020_PA</t>
  </si>
  <si>
    <t xml:space="preserve"> COMP-1898 </t>
  </si>
  <si>
    <t>Chumbador UNC Ø16mm (5/8") com porca sextavada e arruela - FORNECIMENTO E INSTALAÇÃO</t>
  </si>
  <si>
    <t xml:space="preserve"> 4.3.8 </t>
  </si>
  <si>
    <t xml:space="preserve"> COMP-2012 </t>
  </si>
  <si>
    <t>LOCAÇÃO E FIXAÇÃO DE CHAPA DE BASE DOS PILARES</t>
  </si>
  <si>
    <t xml:space="preserve"> 4.3.9 </t>
  </si>
  <si>
    <t xml:space="preserve"> COMP-2013 </t>
  </si>
  <si>
    <t>FIXAÇÃO DE CHAPA DE REFORÇO DOS PILARES</t>
  </si>
  <si>
    <t xml:space="preserve"> 4.4 </t>
  </si>
  <si>
    <t>PROTEÇÃO DE SUPERFÍCIES DAS ESTRUTURAS METÁLICAS - 2 DEMÃOS DE PRIMER E 2 DEMÃOS DE PINTURA DE ACABAMENTO</t>
  </si>
  <si>
    <t xml:space="preserve"> 4.4.1 </t>
  </si>
  <si>
    <t xml:space="preserve"> 4.4.2 </t>
  </si>
  <si>
    <t xml:space="preserve"> 4.4.3 </t>
  </si>
  <si>
    <t xml:space="preserve"> 89453 </t>
  </si>
  <si>
    <t>ALVENARIA DE BLOCOS DE CONCRETO ESTRUTURAL 14X19X39 CM (ESPESSURA 14 CM), FBK = 4,5 MPA, UTILIZANDO PALHETA. AF_10/2022</t>
  </si>
  <si>
    <t xml:space="preserve"> 89993 </t>
  </si>
  <si>
    <t>GRAUTEAMENTO VERTICAL EM ALVENARIA ESTRUTURAL. AF_09/2021</t>
  </si>
  <si>
    <t xml:space="preserve"> COMP-1899 </t>
  </si>
  <si>
    <t>Copia da SINAPI (89996) - ARMAÇÃO VERTICAL DE ALVENARIA ESTRUTURAL; DIÂMETRO DE 8,0 MM. AF_09/2021</t>
  </si>
  <si>
    <t xml:space="preserve"> 89996 </t>
  </si>
  <si>
    <t>ARMAÇÃO VERTICAL DE ALVENARIA ESTRUTURAL; DIÂMETRO DE 10,0 MM. AF_09/2021</t>
  </si>
  <si>
    <t xml:space="preserve"> 5.1.5 </t>
  </si>
  <si>
    <t xml:space="preserve"> COMP-1968 </t>
  </si>
  <si>
    <t>Copia da SINAPI (89996) - ARMAÇÃO VERTICAL DE ALVENARIA ESTRUTURAL; DIÂMETRO DE 5,0 MM. AF_09/2021</t>
  </si>
  <si>
    <t>PISOS</t>
  </si>
  <si>
    <t xml:space="preserve"> 97097 </t>
  </si>
  <si>
    <t>ACABAMENTO POLIDO PARA PISO DE CONCRETO ARMADO OU LAJE SOBRE SOLO DE ALTA RESISTÊNCIA. AF_09/2021</t>
  </si>
  <si>
    <t xml:space="preserve"> COMP-1901 </t>
  </si>
  <si>
    <t>Copia da SUDECAP (48.72.60) - BRISE METÁLICO DE CHAPA DOBRADA</t>
  </si>
  <si>
    <t xml:space="preserve"> 94213 </t>
  </si>
  <si>
    <t>TELHAMENTO COM TELHA DE AÇO/ALUMÍNIO E = 0,5 MM, COM ATÉ 2 ÁGUAS, INCLUSO IÇAMENTO. AF_07/2019</t>
  </si>
  <si>
    <t xml:space="preserve"> 5.4.3 </t>
  </si>
  <si>
    <t xml:space="preserve"> 5.4.4 </t>
  </si>
  <si>
    <t xml:space="preserve"> COMP-1825 </t>
  </si>
  <si>
    <t>Copia da AGETOP CIVIL (160970) - FECHAMENTO LATERAL COM TELHA GALVANIZADA TRAPEZOIDAL 0,43 MM COM ACESSÓRIOS</t>
  </si>
  <si>
    <t xml:space="preserve"> 5.4.5 </t>
  </si>
  <si>
    <t xml:space="preserve"> 100757 </t>
  </si>
  <si>
    <t>PINTURA COM TINTA ALQUÍDICA DE ACABAMENTO (ESMALTE SINTÉTICO ACETINADO) PULVERIZADA SOBRE SUPERFÍCIES METÁLICAS (EXCETO PERFIL) EXECUTADO EM OBRA (02 DEMÃOS). AF_01/2020_PE</t>
  </si>
  <si>
    <t xml:space="preserve"> 5.4.6 </t>
  </si>
  <si>
    <t xml:space="preserve"> COMP-2036 </t>
  </si>
  <si>
    <t>COBERTURA EM POLICARBONATO COMPACTO ESPESSURA 6mm, COR CRISTAL, INSTALADO SOBRE ESTRUTURA METÁLICA EXISTENTE, COM TODOS OS SISTEMAS DE FIXAÇÃO E VEDAÇÃO INCLUSOS - FORNECIMENTO E INSTALAÇÃO</t>
  </si>
  <si>
    <t>FORROS E REVESTIMENTOS</t>
  </si>
  <si>
    <t>FORRO</t>
  </si>
  <si>
    <t xml:space="preserve"> 5.5.1.1 </t>
  </si>
  <si>
    <t xml:space="preserve"> 5.5.1.2 </t>
  </si>
  <si>
    <t xml:space="preserve"> 5.5.1.3 </t>
  </si>
  <si>
    <t xml:space="preserve"> 5.5.2.1 </t>
  </si>
  <si>
    <t>CALÇADAS</t>
  </si>
  <si>
    <t xml:space="preserve"> 97084 </t>
  </si>
  <si>
    <t>COMPACTAÇÃO MECÂNICA DE SOLO PARA EXECUÇÃO DE RADIER, PISO DE CONCRETO OU LAJE SOBRE SOLO, COM COMPACTADOR DE SOLOS TIPO PLACA VIBRATÓRIA. AF_09/2021</t>
  </si>
  <si>
    <t xml:space="preserve"> COMP-2192 </t>
  </si>
  <si>
    <t>Copia da SINAPI (96622) - LASTRO COM MATERIAL GRANULAR, APLICADO EM PISOS OU LAJES SOBRE SOLO, ESPESSURA DE *5 CM*. AF_01/2024</t>
  </si>
  <si>
    <t>LIGAÇÃO ABASTECIMENTO DO RESERVATÓRIO</t>
  </si>
  <si>
    <t xml:space="preserve"> COMP-1980 </t>
  </si>
  <si>
    <t>Copia da SINAPI (97124) - ASSENTAMENTO DE TUBO DE PVC PBA PARA REDE DE ÁGUA, DN 50 MM, JUNTA ELÁSTICA INTEGRADA, INSTALADO EM LOCAL COM NÍVEL BAIXO DE INTERFERÊNCIAS, INCLUSIVE FORNECIMENTO DO TUBO. AF_11/2017</t>
  </si>
  <si>
    <t>ESCAVAÇÃO MECANIZADA DE VALA COM PROFUNDIDADE ATÉ 1,5 M (MÉDIA MONTANTE E JUSANTE/UMA COMPOSIÇÃO POR TRECHO), RETROESCAV. (0,26 M3), LARGURA MENOR QUE 0,8 M, EM SOLO DE 1A CATEGORIA, LOCAIS COM BAIXO NÍVEL DE INTERFERÊNCIA. AF_02/2021</t>
  </si>
  <si>
    <t>M3</t>
  </si>
  <si>
    <t xml:space="preserve"> 6.1.4 </t>
  </si>
  <si>
    <t xml:space="preserve"> 6.1.5 </t>
  </si>
  <si>
    <t xml:space="preserve"> 6.1.6 </t>
  </si>
  <si>
    <t xml:space="preserve"> 94702 </t>
  </si>
  <si>
    <t>TÊ DE REDUÇÃO, PVC, SOLDÁVEL, DN 110 MM X 60 MM, INSTALADO EM RESERVAÇÃO DE ÁGUA DE EDIFICAÇÃO QUE POSSUA RESERVATÓRIO DE FIBRA/FIBROCIMENTO   FORNECIMENTO E INSTALAÇÃO. AF_06/2016</t>
  </si>
  <si>
    <t xml:space="preserve"> 6.1.7 </t>
  </si>
  <si>
    <t xml:space="preserve"> 103971 </t>
  </si>
  <si>
    <t>BUCHA DE REDUÇÃO, LONGA, PVC, SOLDÁVEL, DN 60 X 50 MM, INSTALADO EM PRUMADA DE ÁGUA - FORNECIMENTO E INSTALAÇÃO. AF_06/2022</t>
  </si>
  <si>
    <t xml:space="preserve"> 6.1.8 </t>
  </si>
  <si>
    <t xml:space="preserve"> 94678 </t>
  </si>
  <si>
    <t>JOELHO 90 GRAUS, PVC, SOLDÁVEL, DN 50 MM INSTALADO EM RESERVAÇÃO DE ÁGUA DE EDIFICAÇÃO QUE POSSUA RESERVATÓRIO DE FIBRA/FIBROCIMENTO   FORNECIMENTO E INSTALAÇÃO. AF_06/2016</t>
  </si>
  <si>
    <t xml:space="preserve"> 6.1.9 </t>
  </si>
  <si>
    <t xml:space="preserve"> 94498 </t>
  </si>
  <si>
    <t>REGISTRO DE GAVETA BRUTO, LATÃO, ROSCÁVEL, 2" - FORNECIMENTO E INSTALAÇÃO. AF_08/2021</t>
  </si>
  <si>
    <t xml:space="preserve"> 6.1.10 </t>
  </si>
  <si>
    <t xml:space="preserve"> 94664 </t>
  </si>
  <si>
    <t>ADAPTADOR CURTO COM BOLSA E ROSCA PARA REGISTRO, PVC, SOLDÁVEL, DN 60 MM X 2 , INSTALADO EM RESERVAÇÃO DE ÁGUA DE EDIFICAÇÃO QUE POSSUA RESERVATÓRIO DE FIBRA/FIBROCIMENTO   FORNECIMENTO E INSTALAÇÃO. AF_06/2016</t>
  </si>
  <si>
    <t xml:space="preserve"> 6.1.11 </t>
  </si>
  <si>
    <t xml:space="preserve"> 103998 </t>
  </si>
  <si>
    <t>LUVA DE REDUÇÃO, PVC, SOLDÁVEL, DN 50MM X 25MM, INSTALADO EM RAMAL DE DISTRIBUIÇÃO DE ÁGUA   FORNECIMENTO E INSTALAÇÃO. AF_06/2022</t>
  </si>
  <si>
    <t xml:space="preserve"> 6.1.12 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</si>
  <si>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</si>
  <si>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</si>
  <si>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6.1.13 </t>
  </si>
  <si>
    <t>HIDRÔMETRO DN 25 (¾ ), 5,0 M³/H FORNECIMENTO E INSTALAÇÃO. AF_11/2016</t>
  </si>
  <si>
    <t xml:space="preserve"> 6.1.14 </t>
  </si>
  <si>
    <t>KIT CAVALETE PARA MEDIÇÃO DE ÁGUA - ENTRADA INDIVIDUALIZADA, EM PVC DN 25 (¾), PARA 1 MEDIDOR  FORNECIMENTO E INSTALAÇÃO (EXCLUSIVE HIDRÔMETRO). AF_11/2016</t>
  </si>
  <si>
    <t xml:space="preserve"> 6.1.15 </t>
  </si>
  <si>
    <t>TUBO, PVC, SOLDÁVEL, DN  25 MM, INSTALADO EM RESERVAÇÃO DE ÁGUA DE EDIFICAÇÃO QUE POSSUA RESERVATÓRIO DE FIBRA/FIBROCIMENTO   FORNECIMENTO E INSTALAÇÃO. AF_06/2016</t>
  </si>
  <si>
    <t xml:space="preserve"> 6.1.16 </t>
  </si>
  <si>
    <t xml:space="preserve"> 89363 </t>
  </si>
  <si>
    <t>JOELHO 45 GRAUS, PVC, SOLDÁVEL, DN 25MM, INSTALADO EM RAMAL OU SUB-RAMAL DE ÁGUA - FORNECIMENTO E INSTALAÇÃO. AF_06/2022</t>
  </si>
  <si>
    <t xml:space="preserve"> 6.1.17 </t>
  </si>
  <si>
    <t>BASE DO RESERVATÓRIO METÁLICO</t>
  </si>
  <si>
    <t xml:space="preserve"> 100897 </t>
  </si>
  <si>
    <t>ESTACA ESCAVADA MECANICAMENTE, SEM FLUIDO ESTABILIZANTE, COM 40CM DE DIÂMETRO, CONCRETO LANÇADO POR CAMINHÃO BETONEIRA (EXCLUSIVE MOBILIZAÇÃO E DESMOBILIZAÇÃO). AF_01/2020_PA</t>
  </si>
  <si>
    <t>ESCAVAÇÃO MECANIZADA PARA BLOCO DE COROAMENTO OU SAPATA COM RETROESCAVADEIRA (INCLUINDO ESCAVAÇÃO PARA COLOCAÇÃO DE FÔRMAS). AF_06/2017</t>
  </si>
  <si>
    <t>FABRICAÇÃO, MONTAGEM E DESMONTAGEM DE FÔRMA PARA BLOCO DE COROAMENTO, EM MADEIRA SERRADA, E=25 MM, 4 UTILIZAÇÕES. AF_06/2017</t>
  </si>
  <si>
    <t xml:space="preserve"> 6.2.6 </t>
  </si>
  <si>
    <t xml:space="preserve"> COMP-1983 </t>
  </si>
  <si>
    <t>Copia da SINAPI (96557) - CONCRETAGEM DE BLOCOS DE COROAMENTO E VIGAS BALDRAMES, FCK 25 MPA, COM USO DE BOMBA  LANÇAMENTO, ADENSAMENTO E ACABAMENTO. AF_06/2017</t>
  </si>
  <si>
    <t xml:space="preserve"> 6.2.7 </t>
  </si>
  <si>
    <t xml:space="preserve"> 6.2.8 </t>
  </si>
  <si>
    <t xml:space="preserve"> 6.2.9 </t>
  </si>
  <si>
    <t xml:space="preserve"> 104915 </t>
  </si>
  <si>
    <t>ARMAÇÃO DE BLOCO E SAPATA UTILIZANDO AÇO CA-50 DE 25 MM - MONTAGEM. AF_01/2024</t>
  </si>
  <si>
    <t>REDE DE DISTRIBUIÇÃO DE ÁGUA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</si>
  <si>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</si>
  <si>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</si>
  <si>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</si>
  <si>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</si>
  <si>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</si>
  <si>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104790 </t>
  </si>
  <si>
    <t>DEMOLIÇÃO DE PISO DE CONCRETO SIMPLES, DE FORMA MECANIZADA COM MARTELETE, SEM REAPROVEITAMENTO. AF_09/2023</t>
  </si>
  <si>
    <t xml:space="preserve"> 6.3.9 </t>
  </si>
  <si>
    <t xml:space="preserve"> 6.3.10 </t>
  </si>
  <si>
    <t xml:space="preserve"> 6.3.11 </t>
  </si>
  <si>
    <t xml:space="preserve"> 93667 </t>
  </si>
  <si>
    <t>DISJUNTOR TRIPOLAR TIPO DIN, CORRENTE NOMINAL DE 10A - FORNECIMENTO E INSTALAÇÃO. AF_10/2020</t>
  </si>
  <si>
    <t xml:space="preserve"> COMP-1902 </t>
  </si>
  <si>
    <t xml:space="preserve"> 7.1.7 </t>
  </si>
  <si>
    <t xml:space="preserve"> 7.1.8 </t>
  </si>
  <si>
    <t xml:space="preserve"> COMP-1903 </t>
  </si>
  <si>
    <t>DISPOSITIVO DPS CLASSE I, 1 POLO, TENSAO MAXIMA DE 275 V, CORRENTE MAXIMA DE *90* KA (TIPO AC) - FORNECIMENTO E INSTALAÇÃO. AF_10/2020</t>
  </si>
  <si>
    <t xml:space="preserve"> 7.1.9 </t>
  </si>
  <si>
    <t xml:space="preserve"> 7.1.10 </t>
  </si>
  <si>
    <t xml:space="preserve"> COMP-1904 </t>
  </si>
  <si>
    <t>Copia da SINAPI (101895) - DISJUNTOR CAIXA MOLDADA, CORRENTE NOMINAL DE 150A - FORNECIMENTO E INSTALAÇÃO. AF_10/2020</t>
  </si>
  <si>
    <t xml:space="preserve"> 7.1.11 </t>
  </si>
  <si>
    <t xml:space="preserve"> 7.1.12 </t>
  </si>
  <si>
    <t xml:space="preserve"> COMP-1905 </t>
  </si>
  <si>
    <t>Copia da SINAPI (101878) - QUADRO DE DISTRIBUIÇÃO DE ENERGIA EM CHAPA DE AÇO GALVANIZADO, DE SOBREPOR, COM BARRAMENTO TRIFÁSICO, PARA 24 DISJUNTORES DIN 100A - FORNECIMENTO E INSTALAÇÃO. AF_10/2020</t>
  </si>
  <si>
    <t xml:space="preserve"> 7.1.13 </t>
  </si>
  <si>
    <t xml:space="preserve"> COMP-2015 </t>
  </si>
  <si>
    <t>Copia da ORSE (9687) - Disjuntor termomagnético tripolar 63 A com caixa moldada 10 kA</t>
  </si>
  <si>
    <t xml:space="preserve"> 7.1.14 </t>
  </si>
  <si>
    <t xml:space="preserve"> COMP-2016 </t>
  </si>
  <si>
    <t>Copia da ORSE (11383) - Disjuntor termomagnético tripolar 40 A com caixa moldada 10 kA</t>
  </si>
  <si>
    <t xml:space="preserve"> 7.1.15 </t>
  </si>
  <si>
    <t xml:space="preserve"> COMP-2017 </t>
  </si>
  <si>
    <t>Copia da SBC (065458) - DISJUNTOR CAIXA MOLDADA TRIPOLAR 50A DWP 63L WEG</t>
  </si>
  <si>
    <t xml:space="preserve"> 7.1.16 </t>
  </si>
  <si>
    <t xml:space="preserve"> 93670 </t>
  </si>
  <si>
    <t>DISJUNTOR TRIPOLAR TIPO DIN, CORRENTE NOMINAL DE 25A - FORNECIMENTO E INSTALAÇÃO. AF_10/2020</t>
  </si>
  <si>
    <t xml:space="preserve"> COMP-2037 </t>
  </si>
  <si>
    <t>Copia da SINAPI (97667) - ELETRODUTO FLEXÍVEL CORRUGADO, PEAD, DN 1 1/4", PARA REDE ENTERRADA DE DISTRIBUIÇÃO DE ENERGIA ELÉTRICA - FORNECIMENTO E INSTALAÇÃO. AF_12/2021</t>
  </si>
  <si>
    <t xml:space="preserve"> 97886 </t>
  </si>
  <si>
    <t>CAIXA ENTERRADA ELÉTRICA RETANGULAR, EM ALVENARIA COM TIJOLOS CERÂMICOS MACIÇOS, FUNDO COM BRITA, DIMENSÕES INTERNAS: 0,3X0,3X0,3 M. AF_12/2020</t>
  </si>
  <si>
    <t xml:space="preserve"> 061142 </t>
  </si>
  <si>
    <t>ELETRODUTO GALVANIZADO (SEMI PESADO) NBR 5598 20mm 3/4""</t>
  </si>
  <si>
    <t xml:space="preserve"> 7.2.6 </t>
  </si>
  <si>
    <t xml:space="preserve"> 061145 </t>
  </si>
  <si>
    <t>ELETRODUTO GALVANIZADO (SEMI PESADO) NBR 5598 25mm 1""</t>
  </si>
  <si>
    <t xml:space="preserve"> 7.2.7 </t>
  </si>
  <si>
    <t xml:space="preserve"> 104785 </t>
  </si>
  <si>
    <t>FIXAÇÃO DE ELETRODUTOS, DIÂMETROS MENORES OU IGUAIS A 40 MM, COM ABRAÇADEIRA METÁLICA RÍGIDA TIPO D COM PARAFUSO DE FIXAÇÃO 1 1/4", FIXADA DIRETAMENTE NA LAJE OU PAREDE. AF_09/2023</t>
  </si>
  <si>
    <t xml:space="preserve"> 7.2.8 </t>
  </si>
  <si>
    <t xml:space="preserve"> 95781 </t>
  </si>
  <si>
    <t>CONDULETE DE ALUMÍNIO, TIPO C, PARA ELETRODUTO DE AÇO GALVANIZADO DN 25 MM (1''), APARENTE - FORNECIMENTO E INSTALAÇÃO. AF_10/2022</t>
  </si>
  <si>
    <t xml:space="preserve"> 7.2.9 </t>
  </si>
  <si>
    <t xml:space="preserve"> 95782 </t>
  </si>
  <si>
    <t>CONDULETE DE ALUMÍNIO, TIPO E, ELETRODUTO DE AÇO GALVANIZADO DN 25 MM (1''), APARENTE - FORNECIMENTO E INSTALAÇÃO. AF_10/2022</t>
  </si>
  <si>
    <t xml:space="preserve"> 7.2.10 </t>
  </si>
  <si>
    <t xml:space="preserve"> 7.2.11 </t>
  </si>
  <si>
    <t xml:space="preserve"> 95787 </t>
  </si>
  <si>
    <t>CONDULETE DE ALUMÍNIO, TIPO LR, PARA ELETRODUTO DE AÇO GALVANIZADO DN 20 MM (3/4''), APARENTE - FORNECIMENTO E INSTALAÇÃO. AF_10/2022</t>
  </si>
  <si>
    <t xml:space="preserve"> 7.2.12 </t>
  </si>
  <si>
    <t xml:space="preserve"> 95795 </t>
  </si>
  <si>
    <t>CONDULETE DE ALUMÍNIO, TIPO T, PARA ELETRODUTO DE AÇO GALVANIZADO DN 20 MM (3/4''), APARENTE - FORNECIMENTO E INSTALAÇÃO. AF_10/2022</t>
  </si>
  <si>
    <t xml:space="preserve"> 7.2.13 </t>
  </si>
  <si>
    <t xml:space="preserve"> 92868 </t>
  </si>
  <si>
    <t>CAIXA RETANGULAR 4" X 2" MÉDIA (1,30 M DO PISO), METÁLICA, INSTALADA EM PAREDE - FORNECIMENTO E INSTALAÇÃO. AF_03/2023</t>
  </si>
  <si>
    <t xml:space="preserve"> 7.2.14 </t>
  </si>
  <si>
    <t xml:space="preserve"> COMP-2018 </t>
  </si>
  <si>
    <t>Copia da SINAPI (91937) - CAIXA OCTOGONAL 3" X 3", PVC - FORNECIMENTO E INSTALAÇÃO. AF_03/2023</t>
  </si>
  <si>
    <t xml:space="preserve"> 7.2.15 </t>
  </si>
  <si>
    <t xml:space="preserve"> COMP-1908 </t>
  </si>
  <si>
    <t>Copia da SINAPI (91884) - LUVA PARA ELETRODUTO, AÇO GALVANIZADO, DN 3/4", PARA CIRCUITOS TERMINAIS, INSTALADA EM PAREDE - FORNECIMENTO E INSTALAÇÃO. AF_03/2023</t>
  </si>
  <si>
    <t xml:space="preserve"> 7.2.16 </t>
  </si>
  <si>
    <t xml:space="preserve"> COMP-1909 </t>
  </si>
  <si>
    <t>Copia da SINAPI (91885) - LUVA PARA ELETRODUTO, AÇO GALVANIZADO, DN 1", PARA CIRCUITOS TERMINAIS, INSTALADA EM PAREDE - FORNECIMENTO E INSTALAÇÃO. AF_03/2023</t>
  </si>
  <si>
    <t xml:space="preserve"> 7.2.17 </t>
  </si>
  <si>
    <t xml:space="preserve"> COMP-2014 </t>
  </si>
  <si>
    <t>Copia da SBC (052361) - BUJAO GALVANIZADO 3""</t>
  </si>
  <si>
    <t xml:space="preserve"> 7.2.18 </t>
  </si>
  <si>
    <t xml:space="preserve"> 7.2.19 </t>
  </si>
  <si>
    <t xml:space="preserve"> 91935 </t>
  </si>
  <si>
    <t>CABO DE COBRE FLEXÍVEL ISOLADO, 16 MM², ANTI-CHAMA 0,6/1,0 KV, PARA CIRCUITOS TERMINAIS - FORNECIMENTO E INSTALAÇÃO. AF_03/2023</t>
  </si>
  <si>
    <t xml:space="preserve"> 7.3.4 </t>
  </si>
  <si>
    <t xml:space="preserve"> 7.3.5 </t>
  </si>
  <si>
    <t xml:space="preserve"> 7.3.6 </t>
  </si>
  <si>
    <t xml:space="preserve"> 101562 </t>
  </si>
  <si>
    <t>CABO DE COBRE FLEXÍVEL ISOLADO, 25 MM², 0,6/1,0 KV, PARA REDE AÉREA DE DISTRIBUIÇÃO DE ENERGIA ELÉTRICA DE BAIXA TENSÃO - FORNECIMENTO E INSTALAÇÃO. AF_07/2020</t>
  </si>
  <si>
    <t xml:space="preserve"> 7.3.7 </t>
  </si>
  <si>
    <t xml:space="preserve"> 101637 </t>
  </si>
  <si>
    <t>BRAÇO PARA ILUMINAÇÃO PÚBLICA, EM TUBO DE AÇO GALVANIZADO, COMPRIMENTO DE 1,50 M, PARA FIXAÇÃO EM POSTE METÁLICO - FORNECIMENTO E INSTALAÇÃO. AF_08/2020</t>
  </si>
  <si>
    <t xml:space="preserve"> COMP-2019 </t>
  </si>
  <si>
    <t>Copia da SINAPI (100622) - POSTE DE AÇO CONICO CONTÍNUO CURVO SIMPLES, ENGASTADO, H=9M - FORNECIMENTO E INSTALACAO. AF_11/2019</t>
  </si>
  <si>
    <t>LUMINÁRIA DE LED PARA ILUMINAÇÃO PÚBLICA, DE 138 W ATÉ 180 W - FORNECIMENTO E INSTALAÇÃO. AF_08/2020</t>
  </si>
  <si>
    <t xml:space="preserve"> COMP-2020 </t>
  </si>
  <si>
    <t>Copia da SBC (060316) - REFLETOR 100W LED LINEAR BLINDADO A PROVA D'AGUA</t>
  </si>
  <si>
    <t xml:space="preserve"> COMP-1914 </t>
  </si>
  <si>
    <t>Copia da SBC (060222) - LUMINARIA INDUSTRIAL PENDENTE LED HIGH BAY LIGHT 120W</t>
  </si>
  <si>
    <t xml:space="preserve"> COMP-1910 </t>
  </si>
  <si>
    <t>Copia da SINAPI (92006) - TOMADA BAIXA (2 MÓDULOS), 2P+T 10 A, INCLUSO PLACA - FORNECIMENTO E INSTALAÇÃO. AF_03/2023</t>
  </si>
  <si>
    <t>ELETROCALHAS</t>
  </si>
  <si>
    <t xml:space="preserve"> COMP-1906 </t>
  </si>
  <si>
    <t>Copia da Sinapi (97236) - ELETROCALHA LISA OU PERFURADA EM AÇO GALVANIZADO, LARGURA 50MM E ALTURA 50MM, INCLUSIVE EMENDA, FIXAÇÃO E TAMPA - FORNECIMENTO E INSTALAÇÃO. AF_04/2023</t>
  </si>
  <si>
    <t xml:space="preserve"> 724 </t>
  </si>
  <si>
    <t>Fornecimento e instalação de saída horizontal para eletroduto 1" (ref. vl 33 valemam ou similar)</t>
  </si>
  <si>
    <t xml:space="preserve"> 7.6.3 </t>
  </si>
  <si>
    <t xml:space="preserve"> 11287 </t>
  </si>
  <si>
    <t>Curva vertical 50 x 50 mm para eletrocalha metálica, com ângulo 90° (ref.: mopa ou similar)</t>
  </si>
  <si>
    <t xml:space="preserve"> 7.6.4 </t>
  </si>
  <si>
    <t xml:space="preserve"> 8686 </t>
  </si>
  <si>
    <t>MATERIAL PARA ENTRADA SERVIÇO</t>
  </si>
  <si>
    <t xml:space="preserve"> COMP-1911 </t>
  </si>
  <si>
    <t>Copia da SINAPI (104749) - CONECTOR GRAMPO METÁLICO TIPO OLHAL, PARA SPDA, PARA HASTE DE ATERRAMENTO DE 3/8'' E CABOS DE 10 A 50 MM2 - FORNECIMENTO E INSTALAÇÃO. AF_08/2023</t>
  </si>
  <si>
    <t xml:space="preserve"> 7.7.2 </t>
  </si>
  <si>
    <t xml:space="preserve"> 7.7.3 </t>
  </si>
  <si>
    <t xml:space="preserve"> 7.7.4 </t>
  </si>
  <si>
    <t xml:space="preserve"> 97891 </t>
  </si>
  <si>
    <t>CAIXA ENTERRADA ELÉTRICA RETANGULAR, EM ALVENARIA COM BLOCOS DE CONCRETO, FUNDO COM BRITA, DIMENSÕES INTERNAS: 0,4X0,4X0,4 M. AF_12/2020</t>
  </si>
  <si>
    <t xml:space="preserve"> 7.8 </t>
  </si>
  <si>
    <t>MURO DE MEDIÇÃO</t>
  </si>
  <si>
    <t xml:space="preserve"> 7.8.1 </t>
  </si>
  <si>
    <t xml:space="preserve"> 7.8.2 </t>
  </si>
  <si>
    <t xml:space="preserve"> 7.8.3 </t>
  </si>
  <si>
    <t>MASSA ÚNICA, PARA RECEBIMENTO DE PINTURA, EM ARGAMASSA TRAÇO 1:2:8, PREPARO MECÂNICO COM BETONEIRA 400L, APLICADA MANUALMENTE EM FACES INTERNAS DE PAREDES, ESPESSURA DE 10MM, COM EXECUÇÃO DE TALISCAS. AF_06/2014</t>
  </si>
  <si>
    <t xml:space="preserve"> 7.8.4 </t>
  </si>
  <si>
    <t>APLICAÇÃO MANUAL DE MASSA ACRÍLICA EM PAREDES EXTERNAS DE CASAS, DUAS DEMÃOS. AF_05/2017</t>
  </si>
  <si>
    <t xml:space="preserve"> 7.8.5 </t>
  </si>
  <si>
    <t xml:space="preserve"> 7.8.6 </t>
  </si>
  <si>
    <t xml:space="preserve"> 94992 </t>
  </si>
  <si>
    <t>EXECUÇÃO DE PASSEIO (CALÇADA) OU PISO DE CONCRETO COM CONCRETO MOLDADO IN LOCO, FEITO EM OBRA, ACABAMENTO CONVENCIONAL, ESPESSURA 6 CM, ARMADO. AF_08/2022</t>
  </si>
  <si>
    <t xml:space="preserve"> 7.8.7 </t>
  </si>
  <si>
    <t xml:space="preserve"> 101979 </t>
  </si>
  <si>
    <t>CHAPIM (RUFO CAPA) EM AÇO GALVANIZADO, CORTE 33. AF_11/2020</t>
  </si>
  <si>
    <t xml:space="preserve"> 7.9 </t>
  </si>
  <si>
    <t xml:space="preserve"> 7.9.1 </t>
  </si>
  <si>
    <t xml:space="preserve"> 7.9.1.1 </t>
  </si>
  <si>
    <t xml:space="preserve"> 104746 </t>
  </si>
  <si>
    <t>MINI CAPTOR PARA SPDA - FORNECIMENTO E INSTALAÇÃO. AF_08/2023</t>
  </si>
  <si>
    <t xml:space="preserve"> 7.9.2 </t>
  </si>
  <si>
    <t xml:space="preserve"> 7.9.2.1 </t>
  </si>
  <si>
    <t xml:space="preserve"> COMP-1978 </t>
  </si>
  <si>
    <t>Copia da  SETOP (ED-51019) - BARRA CHATA DE ALUMÍNIO 7/8" X 1/8" X 3M</t>
  </si>
  <si>
    <t xml:space="preserve"> 7.9.3 </t>
  </si>
  <si>
    <t xml:space="preserve"> 7.9.3.1 </t>
  </si>
  <si>
    <t xml:space="preserve"> 078030 </t>
  </si>
  <si>
    <t>CAIXA DE EQUALIZACAO TERRA 210x210x90 TEL-901</t>
  </si>
  <si>
    <t xml:space="preserve"> 7.9.3.2 </t>
  </si>
  <si>
    <t xml:space="preserve"> 7.9.3.3 </t>
  </si>
  <si>
    <t xml:space="preserve"> COMP-1979 </t>
  </si>
  <si>
    <t>Copia da Setop (ED-51022) - RE-BAR 10MM (80mm²) X 3M COM 3 CLIPS PARA EMENDA 8-10MM</t>
  </si>
  <si>
    <t xml:space="preserve"> 7.9.3.4 </t>
  </si>
  <si>
    <t xml:space="preserve"> 061141 </t>
  </si>
  <si>
    <t>ELETRODUTO GALVANIZADO (SEMI PESADO) NBR 5598 15mm 1/2""</t>
  </si>
  <si>
    <t xml:space="preserve"> 7.10 </t>
  </si>
  <si>
    <t>CFTV</t>
  </si>
  <si>
    <t xml:space="preserve"> 7.10.1 </t>
  </si>
  <si>
    <t xml:space="preserve"> 7.10.1.1 </t>
  </si>
  <si>
    <t xml:space="preserve"> 7.10.1.2 </t>
  </si>
  <si>
    <t xml:space="preserve"> 7.10.1.3 </t>
  </si>
  <si>
    <t xml:space="preserve"> 059098 </t>
  </si>
  <si>
    <t>CURVA 90 ELETRODUTO FERRO GALVANIZADO 1""</t>
  </si>
  <si>
    <t xml:space="preserve"> 7.10.1.4 </t>
  </si>
  <si>
    <t xml:space="preserve"> 7.10.1.5 </t>
  </si>
  <si>
    <t xml:space="preserve"> 91871 </t>
  </si>
  <si>
    <t>ELETRODUTO RÍGIDO ROSCÁVEL, PVC, DN 25 MM (3/4"), PARA CIRCUITOS TERMINAIS, INSTALADO EM PAREDE - FORNECIMENTO E INSTALAÇÃO. AF_03/2023</t>
  </si>
  <si>
    <t xml:space="preserve"> 7.10.1.6 </t>
  </si>
  <si>
    <t xml:space="preserve"> COMP-1915 </t>
  </si>
  <si>
    <t>Copia da SINAPI (91872) - ELETRODUTO RÍGIDO ROSCÁVEL, PVC, DN 50 MM (1 1/2"), PARA CIRCUITOS TERMINAIS, INSTALADO EM PAREDE - FORNECIMENTO E INSTALAÇÃO. AF_03/2023</t>
  </si>
  <si>
    <t xml:space="preserve"> 7.10.1.7 </t>
  </si>
  <si>
    <t xml:space="preserve"> 91884 </t>
  </si>
  <si>
    <t>LUVA PARA ELETRODUTO, PVC, ROSCÁVEL, DN 25 MM (3/4"), PARA CIRCUITOS TERMINAIS, INSTALADA EM PAREDE - FORNECIMENTO E INSTALAÇÃO. AF_03/2023</t>
  </si>
  <si>
    <t xml:space="preserve"> 7.10.1.8 </t>
  </si>
  <si>
    <t xml:space="preserve"> COMP-1916 </t>
  </si>
  <si>
    <t>Copia da SINAPI (93013) - LUVA PARA ELETRODUTO, PVC, ROSCÁVEL, DN 50 MM (1 1/2"), PARA CIRCUITOS TERMINAIS, INSTALADA EM PAREDE - FORNECIMENTO E INSTALAÇÃO. AF_03/2023</t>
  </si>
  <si>
    <t xml:space="preserve"> 7.10.1.9 </t>
  </si>
  <si>
    <t xml:space="preserve"> 91914 </t>
  </si>
  <si>
    <t>CURVA 90 GRAUS PARA ELETRODUTO, PVC, ROSCÁVEL, DN 25 MM (3/4"), PARA CIRCUITOS TERMINAIS, INSTALADA EM PAREDE - FORNECIMENTO E INSTALAÇÃO. AF_03/2023</t>
  </si>
  <si>
    <t xml:space="preserve"> 7.10.1.10 </t>
  </si>
  <si>
    <t xml:space="preserve"> 100556 </t>
  </si>
  <si>
    <t>CAIXA DE PASSAGEM PARA TELEFONE 15X15X10CM (SOBREPOR), FORNECIMENTO E INSTALACAO. AF_11/2019</t>
  </si>
  <si>
    <t xml:space="preserve"> 7.10.1.11 </t>
  </si>
  <si>
    <t xml:space="preserve"> 7.10.1.12 </t>
  </si>
  <si>
    <t xml:space="preserve"> 7.10.1.13 </t>
  </si>
  <si>
    <t xml:space="preserve"> 7.10.2 </t>
  </si>
  <si>
    <t xml:space="preserve"> 7.10.2.1 </t>
  </si>
  <si>
    <t xml:space="preserve"> CC.CESMA_0003 </t>
  </si>
  <si>
    <t>CABO ELETRÔNICO CATEGORIA 5E, INSTALADO EM EDIFICAÇÃO INSTITUCIONAL - ISOLAMENTO PVC (CMX) - FORNECIMENTO E INSTALAÇÃO. AF_11/2019</t>
  </si>
  <si>
    <t xml:space="preserve"> 7.10.2.2 </t>
  </si>
  <si>
    <t xml:space="preserve"> COMP-1920 </t>
  </si>
  <si>
    <t>Copia da SINAPI (98307) - CONECTOR RJ45 - FORNECIMENTO E INSTALAÇÃO. AF_11/2019</t>
  </si>
  <si>
    <t xml:space="preserve"> 7.10.3 </t>
  </si>
  <si>
    <t>EQUIPAMENTOS CFTV</t>
  </si>
  <si>
    <t xml:space="preserve"> 7.10.3.1 </t>
  </si>
  <si>
    <t xml:space="preserve"> COMP-1921 </t>
  </si>
  <si>
    <t>Copia da SINAPI (98305) - RACK 19" 12U x 470mm - FORNECIMENTO E INSTALAÇÃO. AF_11/2019</t>
  </si>
  <si>
    <t xml:space="preserve"> 7.10.3.2 </t>
  </si>
  <si>
    <t xml:space="preserve"> COMP-1922 </t>
  </si>
  <si>
    <t>Copia da SBC (068414) - NVR 32 CANAIS FULL HD 1080P CAPACIDADE MÍNIMA DE ARMAZENAMENTO DE 8 TB - FORNECIMENTO E INSTALAÇÃO</t>
  </si>
  <si>
    <t xml:space="preserve"> 7.10.3.3 </t>
  </si>
  <si>
    <t xml:space="preserve"> COMP-1924 </t>
  </si>
  <si>
    <t>Copia da SBC (068399) - CAMERA BULLET, RESOLUÇÃO 2MP FULL HD, LENTE 2.8mm, IP67, DIST. MÁX. DO INFRAVERMELHO 30m - FORNECIMENTO E INSTALAÇÃO</t>
  </si>
  <si>
    <t xml:space="preserve"> 7.10.3.4 </t>
  </si>
  <si>
    <t xml:space="preserve"> COMP-1923 </t>
  </si>
  <si>
    <t>Copia da SBC (068414) - KIT CENTRAL DE ALARME DE CAPACIDADE MÍNIMA PARA 15 SENSORES, TECLADO INCLUSO + 03 SENSORES DE PRESENÇA COM ALCANCE MÍNIMO DE 12m, INFRAVERMELHO + SIRENE &gt; 100 dB + 100M CABO PARA ALARME 4 VIAS + BATERIA SELADA PARA CENTRAL DE ALARME 12V - FORNECIMENTO E INSTALAÇÃO</t>
  </si>
  <si>
    <t xml:space="preserve"> 7.10.3.5 </t>
  </si>
  <si>
    <t xml:space="preserve"> COMP-2021 </t>
  </si>
  <si>
    <t>Copia da CPOS/CDHU (66.08.350) - Unidade de disco rígido (HD) externo de 8 TB, 3,5"</t>
  </si>
  <si>
    <t xml:space="preserve"> 7.10.3.6 </t>
  </si>
  <si>
    <t xml:space="preserve"> CESMA - COT.05 </t>
  </si>
  <si>
    <t>NOBREAK 220V, SENOIDAL, ONLINE MONOFÁSICO, 3 kVA</t>
  </si>
  <si>
    <t>GALPÃO NOVO</t>
  </si>
  <si>
    <t xml:space="preserve"> COMP-1821 </t>
  </si>
  <si>
    <t>PLACA DE SINALIZACAO DE SEGURANCA CONTRA INCENDIO, FOTOLUMINESCENTE, *20 X 40* CM, EM PVC *2* MM ANTI-CHAMAS (SIMBOLOS, CORES E PICTOGRAMAS CONFORME NBR 13434)</t>
  </si>
  <si>
    <t>LUMINÁRIA DE EMERGÊNCIA, COM 30 LÂMPADAS LED DE 2 W, SEM REATOR - FORNECIMENTO E INSTALAÇÃO. AF_02/2020</t>
  </si>
  <si>
    <t>ADAPTAÇÃO REDE DE HIDRANTES ANTIGO GALPÃO</t>
  </si>
  <si>
    <t>SUCÇÃO</t>
  </si>
  <si>
    <t xml:space="preserve"> 8.2.1.1 </t>
  </si>
  <si>
    <t xml:space="preserve"> 92368 </t>
  </si>
  <si>
    <t>TUBO DE AÇO GALVANIZADO COM COSTURA, CLASSE MÉDIA, DN 80 (3"), CONEXÃO ROSQUEADA, INSTALADO EM REDE DE ALIMENTAÇÃO PARA HIDRANTE - FORNECIMENTO E INSTALAÇÃO. AF_10/2020</t>
  </si>
  <si>
    <t xml:space="preserve"> 8.2.1.2 </t>
  </si>
  <si>
    <t xml:space="preserve"> 92644 </t>
  </si>
  <si>
    <t>TÊ, EM FERRO GALVANIZADO, CONEXÃO ROSQUEADA, DN 80 (3"), INSTALADO EM REDE DE ALIMENTAÇÃO PARA HIDRANTE - FORNECIMENTO E INSTALAÇÃO. AF_10/2020</t>
  </si>
  <si>
    <t xml:space="preserve"> 8.2.1.3 </t>
  </si>
  <si>
    <t xml:space="preserve"> COMP-2022 </t>
  </si>
  <si>
    <t>Copia da SINAPI (92644) - TE DE REDUCAO DE FERRO GALVANIZADO, COM ROSCA BSP, DE 3" X 2 1/2", CONEXÃO ROSQUEADA, INSTALADO EM REDE DE ALIMENTAÇÃO PARA HIDRANTE - FORNECIMENTO E INSTALAÇÃO. AF_10/2020</t>
  </si>
  <si>
    <t xml:space="preserve"> 8.2.1.4 </t>
  </si>
  <si>
    <t xml:space="preserve"> 97478 </t>
  </si>
  <si>
    <t>LUVA COM REDUÇÃO, EM AÇO, CONEXÃO SOLDADA, DN 80 X 65 MM (3" X 2 1/2"), INSTALADO EM REDE DE ALIMENTAÇÃO PARA HIDRANTE - FORNECIMENTO E INSTALAÇÃO. AF_10/2020</t>
  </si>
  <si>
    <t xml:space="preserve"> 8.2.1.5 </t>
  </si>
  <si>
    <t xml:space="preserve"> 94500 </t>
  </si>
  <si>
    <t>REGISTRO DE GAVETA BRUTO, LATÃO, ROSCÁVEL, 3" - FORNECIMENTO E INSTALAÇÃO. AF_08/2021</t>
  </si>
  <si>
    <t xml:space="preserve"> 8.2.1.6 </t>
  </si>
  <si>
    <t xml:space="preserve"> 99625 </t>
  </si>
  <si>
    <t>VÁLVULA DE RETENÇÃO HORIZONTAL, DE BRONZE, ROSCÁVEL, 3" - FORNECIMENTO E INSTALAÇÃO. AF_08/2021</t>
  </si>
  <si>
    <t xml:space="preserve"> 8.2.1.7 </t>
  </si>
  <si>
    <t xml:space="preserve"> COMP-2035 </t>
  </si>
  <si>
    <t>Copia da SINAPI (97475) - JJUNTA DE EXPANSÃO EPDM DUPLA ONDA 3" - FORNECIMENTO E INSTALAÇÃO. AF_10/2020</t>
  </si>
  <si>
    <t>RECALQUE</t>
  </si>
  <si>
    <t xml:space="preserve"> 8.2.2.1 </t>
  </si>
  <si>
    <t xml:space="preserve"> 92367 </t>
  </si>
  <si>
    <t>TUBO DE AÇO GALVANIZADO COM COSTURA, CLASSE MÉDIA, DN 65 (2 1/2"), CONEXÃO ROSQUEADA, INSTALADO EM REDE DE ALIMENTAÇÃO PARA HIDRANTE - FORNECIMENTO E INSTALAÇÃO. AF_10/2020</t>
  </si>
  <si>
    <t xml:space="preserve"> 8.2.2.2 </t>
  </si>
  <si>
    <t xml:space="preserve"> 94499 </t>
  </si>
  <si>
    <t>REGISTRO DE GAVETA BRUTO, LATÃO, ROSCÁVEL, 2 1/2" - FORNECIMENTO E INSTALAÇÃO. AF_08/2021</t>
  </si>
  <si>
    <t xml:space="preserve"> 8.2.2.3 </t>
  </si>
  <si>
    <t xml:space="preserve"> 103009 </t>
  </si>
  <si>
    <t>VÁLVULA DE RETENÇÃO VERTICAL, DE BRONZE, ROSCÁVEL, 2 1/2" - FORNECIMENTO E INSTALAÇÃO. AF_08/2021</t>
  </si>
  <si>
    <t xml:space="preserve"> 8.2.2.4 </t>
  </si>
  <si>
    <t xml:space="preserve"> 92642 </t>
  </si>
  <si>
    <t>TÊ, EM FERRO GALVANIZADO, CONEXÃO ROSQUEADA, DN 65 (2 1/2"), INSTALADO EM REDE DE ALIMENTAÇÃO PARA HIDRANTE - FORNECIMENTO E INSTALAÇÃO. AF_10/2020</t>
  </si>
  <si>
    <t xml:space="preserve"> 8.2.2.5 </t>
  </si>
  <si>
    <t xml:space="preserve"> COMP-2023 </t>
  </si>
  <si>
    <t>Copia da SINAPI (97475) - LUVA COM REDUÇÃO, EM AÇO, CONEXÃO SOLDADA, DN 65 X 25 MM (2 1/2" X 1"), INSTALADO EM REDE DE ALIMENTAÇÃO PARA HIDRANTE - FORNECIMENTO E INSTALAÇÃO. AF_10/2020</t>
  </si>
  <si>
    <t xml:space="preserve"> 8.2.2.6 </t>
  </si>
  <si>
    <t xml:space="preserve"> COMP-2024 </t>
  </si>
  <si>
    <t>Copia da SINAPI (92678) - JOELHO 90 GRAUS, EM FERRO GALVANIZADO, CONEXÃO ROSQUEADA, DN 65 (2 1/2"), INSTALADO EM REDE DE ALIMENTAÇÃO PARA HIDRANTE - FORNECIMENTO E INSTALAÇÃO. AF_10/2020</t>
  </si>
  <si>
    <t xml:space="preserve"> 8.2.2.7 </t>
  </si>
  <si>
    <t xml:space="preserve"> COMP-2026 </t>
  </si>
  <si>
    <t>Copia da SINAPI (92389) - CAP, EM FERRO GALVANIZADO, DN 65 (2 1/2"), CONEXÃO ROSQUEADA, INSTALADO EM REDE DE ALIMENTAÇÃO PARA HIDRANTE - FORNECIMENTO E INSTALAÇÃO. AF_10/2020</t>
  </si>
  <si>
    <t xml:space="preserve"> 8.2.2.8 </t>
  </si>
  <si>
    <t xml:space="preserve"> COMP-2027 </t>
  </si>
  <si>
    <t>FIXAÇÃO COM SUPORTE MÃO FRANCESA E CHUMBADOR EXPANSÍVEL</t>
  </si>
  <si>
    <t xml:space="preserve"> 8.2.2.9 </t>
  </si>
  <si>
    <t xml:space="preserve"> COMP-2028 </t>
  </si>
  <si>
    <t>Copia - FIXAÇÃO DE TUBO COM ABRAÇADEIRA E CHUMBADOR EXPANSÍVEL</t>
  </si>
  <si>
    <t xml:space="preserve"> 8.2.2.10 </t>
  </si>
  <si>
    <t xml:space="preserve"> COMP-2034 </t>
  </si>
  <si>
    <t>Copia da SINAPI (97475) - JUNTA EXPANSAO DUPLA ONDA ROSCA BSP 10KGF/CM2 2.1/2" - FORNECIMENTO E INSTALAÇÃO. AF_10/2020</t>
  </si>
  <si>
    <t xml:space="preserve"> 8.2.2.11 </t>
  </si>
  <si>
    <t xml:space="preserve"> COMP-2033 </t>
  </si>
  <si>
    <t>Copia da SBC (077517) - INSTALAÇÃO DE BOMBA PARA INCÊNDIO TRIFÁSICA 15 CV, 2.1/2", 54 mca x 44,2m³/h</t>
  </si>
  <si>
    <t>CAIXA REGISTRO DE RECALQUE</t>
  </si>
  <si>
    <t xml:space="preserve"> 8.2.3.1 </t>
  </si>
  <si>
    <t xml:space="preserve"> 8.2.3.2 </t>
  </si>
  <si>
    <t xml:space="preserve"> 8.2.3.3 </t>
  </si>
  <si>
    <t xml:space="preserve"> 8.2.3.4 </t>
  </si>
  <si>
    <t xml:space="preserve"> 99624 </t>
  </si>
  <si>
    <t>VÁLVULA DE RETENÇÃO HORIZONTAL, DE BRONZE, ROSCÁVEL, 2 1/2" - FORNECIMENTO E INSTALAÇÃO. AF_08/2021</t>
  </si>
  <si>
    <t xml:space="preserve"> 8.2.3.5 </t>
  </si>
  <si>
    <t xml:space="preserve"> 103019 </t>
  </si>
  <si>
    <t>REGISTRO OU VÁLVULA GLOBO ANGULAR EM LATÃO, PARA HIDRANTES EM INSTALAÇÃO PREDIAL DE INCÊNDIO, 45 GRAUS, 2 1/2" - FORNECIMENTO E INSTALAÇÃO. AF_08/2021</t>
  </si>
  <si>
    <t xml:space="preserve"> 8.2.3.6 </t>
  </si>
  <si>
    <t xml:space="preserve"> COMP-2029 </t>
  </si>
  <si>
    <t>Copia da SINAPI (103019) - ADAPTADOR, EM LATAO, ENGATE RAPIDO 2 1/2" X ROSCA INTERNA 5 FIOS 2 1/2",  PARA INSTALACAO PREDIAL DE COMBATE A INCENDIO - FORNECIMENTO E INSTALAÇÃO. AF_08/2021</t>
  </si>
  <si>
    <t xml:space="preserve"> 8.2.3.7 </t>
  </si>
  <si>
    <t xml:space="preserve"> COMP-2030 </t>
  </si>
  <si>
    <t>Copia da SINAPI (103019) - TAMPAO COM CORRENTE. EM LATAO. ENGATE RAPIDO 2 1/2". PARA INSTALACAO PREDIAL DE COMBATE A INCENDIO - FORNECIMENTO E INSTALAÇÃO. AF_08/2021</t>
  </si>
  <si>
    <t xml:space="preserve"> 8.2.3.8 </t>
  </si>
  <si>
    <t>DRENO TESTE</t>
  </si>
  <si>
    <t xml:space="preserve"> 8.2.4.1 </t>
  </si>
  <si>
    <t xml:space="preserve"> 97498 </t>
  </si>
  <si>
    <t>TUBO DE AÇO GALVANIZADO COM COSTURA, CLASSE MÉDIA, DN 25 (1"), CONEXÃO ROSQUEADA, INSTALADO EM REDE DE ALIMENTAÇÃO PARA HIDRANTE - FORNECIMENTO E INSTALAÇÃO. AF_10/2020</t>
  </si>
  <si>
    <t xml:space="preserve"> 8.2.4.2 </t>
  </si>
  <si>
    <t xml:space="preserve"> 92382 </t>
  </si>
  <si>
    <t>JOELHO 90 GRAUS, EM FERRO GALVANIZADO, DN 25 (1"), CONEXÃO ROSQUEADA, INSTALADO EM REDE DE ALIMENTAÇÃO PARA HIDRANTE - FORNECIMENTO E INSTALAÇÃO. AF_10/2020</t>
  </si>
  <si>
    <t xml:space="preserve"> 8.2.4.3 </t>
  </si>
  <si>
    <t xml:space="preserve"> 8.2.4.4 </t>
  </si>
  <si>
    <t xml:space="preserve"> 101917 </t>
  </si>
  <si>
    <t>MANÔMETRO 0 A 200 PSI (0 A 14 KGF/CM2), D = 50MM - FORNECIMENTO E INSTALAÇÃO. AF_10/2020</t>
  </si>
  <si>
    <t xml:space="preserve"> 8.2.4.5 </t>
  </si>
  <si>
    <t xml:space="preserve"> COMP-2031 </t>
  </si>
  <si>
    <t>Copia da SINAPI (101917) - PRESSOSTATO 0 A 10 kgf/cm² - FORNECIMENTO E INSTALAÇÃO. AF_10/2020</t>
  </si>
  <si>
    <t xml:space="preserve"> 8.2.4.6 </t>
  </si>
  <si>
    <t xml:space="preserve"> COMP-2032 </t>
  </si>
  <si>
    <t>Copia da ORSE (13313) - Tanque de pressão capacidade 24 lt (p/incendio)</t>
  </si>
  <si>
    <t>CASA DE BOMBAS - OBRA CIVIL</t>
  </si>
  <si>
    <t xml:space="preserve"> 8.2.5.1 </t>
  </si>
  <si>
    <t xml:space="preserve"> 8.2.5.1.1 </t>
  </si>
  <si>
    <t xml:space="preserve"> 103669 </t>
  </si>
  <si>
    <t>CONCRETAGEM DE PILARES, FCK = 25 MPA,  COM USO DE BALDES - LANÇAMENTO, ADENSAMENTO E ACABAMENTO. AF_02/2022</t>
  </si>
  <si>
    <t xml:space="preserve"> 8.2.5.1.2 </t>
  </si>
  <si>
    <t xml:space="preserve"> 92419 </t>
  </si>
  <si>
    <t>MONTAGEM E DESMONTAGEM DE FÔRMA DE PILARES RETANGULARES E ESTRUTURAS SIMILARES, PÉ-DIREITO SIMPLES, EM CHAPA DE MADEIRA COMPENSADA RESINADA, 4 UTILIZAÇÕES. AF_09/2020</t>
  </si>
  <si>
    <t xml:space="preserve"> 8.2.5.1.3 </t>
  </si>
  <si>
    <t xml:space="preserve"> 8.2.5.1.4 </t>
  </si>
  <si>
    <t xml:space="preserve"> 8.2.5.2 </t>
  </si>
  <si>
    <t xml:space="preserve"> 8.2.5.2.1 </t>
  </si>
  <si>
    <t xml:space="preserve"> 103682 </t>
  </si>
  <si>
    <t>CONCRETAGEM DE VIGAS E LAJES, FCK=25 MPA, PARA QUALQUER TIPO DE LAJE COM BALDES EM EDIFICAÇÃO TÉRREA - LANÇAMENTO, ADENSAMENTO E ACABAMENTO. AF_02/2022</t>
  </si>
  <si>
    <t xml:space="preserve"> 8.2.5.2.2 </t>
  </si>
  <si>
    <t xml:space="preserve"> 8.2.5.2.3 </t>
  </si>
  <si>
    <t xml:space="preserve"> 8.2.5.2.4 </t>
  </si>
  <si>
    <t xml:space="preserve"> 92455 </t>
  </si>
  <si>
    <t>MONTAGEM E DESMONTAGEM DE FÔRMA DE VIGA, ESCORAMENTO COM GARFO DE MADEIRA, PÉ-DIREITO SIMPLES, EM CHAPA DE MADEIRA RESINADA, 4 UTILIZAÇÕES. AF_09/2020</t>
  </si>
  <si>
    <t xml:space="preserve"> 8.2.5.3 </t>
  </si>
  <si>
    <t>ALVENARIA E REVESTIMENTO</t>
  </si>
  <si>
    <t xml:space="preserve"> 8.2.5.3.1 </t>
  </si>
  <si>
    <t xml:space="preserve"> 103357 </t>
  </si>
  <si>
    <t>ALVENARIA DE VEDAÇÃO DE BLOCOS CERÂMICOS FURADOS NA HORIZONTAL DE 9X19X29 CM (ESPESSURA 9 CM) E ARGAMASSA DE ASSENTAMENTO COM PREPARO MANUAL. AF_12/2021</t>
  </si>
  <si>
    <t xml:space="preserve"> 8.2.5.3.2 </t>
  </si>
  <si>
    <t xml:space="preserve"> 8.2.5.3.3 </t>
  </si>
  <si>
    <t xml:space="preserve"> 87529 </t>
  </si>
  <si>
    <t>MASSA ÚNICA, PARA RECEBIMENTO DE PINTURA, EM ARGAMASSA TRAÇO 1:2:8, PREPARO MECÂNICO COM BETONEIRA 400L, APLICADA MANUALMENTE EM FACES INTERNAS DE PAREDES, ESPESSURA DE 20MM, COM EXECUÇÃO DE TALISCAS. AF_06/2014</t>
  </si>
  <si>
    <t xml:space="preserve"> 8.2.5.3.4 </t>
  </si>
  <si>
    <t>M2</t>
  </si>
  <si>
    <t xml:space="preserve"> 8.2.5.3.5 </t>
  </si>
  <si>
    <t xml:space="preserve"> 8.2.5.3.6 </t>
  </si>
  <si>
    <t xml:space="preserve"> 8.2.5.4 </t>
  </si>
  <si>
    <t xml:space="preserve"> 8.2.5.4.1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</si>
  <si>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</si>
  <si>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</si>
  <si>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8.2.5.4.2 </t>
  </si>
  <si>
    <t xml:space="preserve"> 94207 </t>
  </si>
  <si>
    <t>TELHAMENTO COM TELHA ONDULADA DE FIBROCIMENTO E = 6 MM, COM RECOBRIMENTO LATERAL DE 1/4 DE ONDA PARA TELHADO COM INCLINAÇÃO MAIOR QUE 10°, COM ATÉ 2 ÁGUAS, INCLUSO IÇAMENTO. AF_07/2019</t>
  </si>
  <si>
    <t xml:space="preserve"> 8.2.5.5 </t>
  </si>
  <si>
    <t xml:space="preserve"> 8.2.5.5.1 </t>
  </si>
  <si>
    <t xml:space="preserve"> 9.3 </t>
  </si>
  <si>
    <t xml:space="preserve"> COMP-2194 </t>
  </si>
  <si>
    <t xml:space="preserve"> COMP-2038 </t>
  </si>
  <si>
    <t>ADMINISTRAÇÃO LOCAL - NOVO GALPÃO CESMA - NÃO DESONERADO</t>
  </si>
  <si>
    <t xml:space="preserve"> CC.CESMA_0002 </t>
  </si>
  <si>
    <t>DESPESAS  DIVERSAS  ADMINISTRAÇÃO  LOCAL  -  MANUTENÇÃO  DE  CANTEIRO  (ÁGUA,  ENERGIA,  TELEFONIA,  MATERIAL  DE  ESCRITÓRIO  E  LIMPEZA  ETC).  -  GALPÃO  CESMA  - NÃO DESONERADO</t>
  </si>
  <si>
    <t xml:space="preserve"> 11.1.1 </t>
  </si>
  <si>
    <t xml:space="preserve"> COMP-1994 </t>
  </si>
  <si>
    <t>RESERVATÓRIO METÁLICO TIPO TAÇA, COM ÁGUA NA COLUNA, EM CHAPA DE AÇO CARBONO ASTM A36, SOLDA DE ALTA RESISTÊNCIA MECÂNICA TIPO MIG-09 COM ARAMES SÓLIDOS E COBREADOS (NORMA AWS A5.18), PINTURA ATÓXICA E ANTI-CORRSIVA DE ALTA IMPERMEABILIDADE (ESPESSURA FINAL DE 180 A 200 MÍCRONS), COM GARANTIA MÍNIMA DE 5 ANOS DA PARTE ESTRUTURAL E 2 ANOS DA PINTURA - INCLUSO FRETE E INSTALAÇÃO.</t>
  </si>
  <si>
    <t xml:space="preserve"> 11.2.1 </t>
  </si>
  <si>
    <t xml:space="preserve"> CESMA - COT.09 </t>
  </si>
  <si>
    <t>BOMBA INCÊNDIO TRIFÁSICA 15 CV, 2.1/2", 54 mca x 44,2m³/h - MODELO DE REFERÊNCIA SCHNEIDER BPI-22R</t>
  </si>
  <si>
    <t>B</t>
  </si>
  <si>
    <t>DADOS DA PROPOSTA</t>
  </si>
  <si>
    <t>CNPJ:</t>
  </si>
  <si>
    <t>Brasília-DF, xx de xxxxxxxxxxx de 202x.</t>
  </si>
  <si>
    <t>FORMAÇÃO E Nº DO REGISTRO EM CONSELHO</t>
  </si>
  <si>
    <t>NOME DA EMPRESA</t>
  </si>
  <si>
    <t>_______________________________________________________________________</t>
  </si>
  <si>
    <t>DECLARAÇÃO ENCARGOS SOCIAIS</t>
  </si>
  <si>
    <t>DISTRITO FEDERAL</t>
  </si>
  <si>
    <t>VIGÊNCIA:</t>
  </si>
  <si>
    <t>MÊS/ANO</t>
  </si>
  <si>
    <t>ENCARGOS SOCIAIS SOBRE A MÃO DE OBRA</t>
  </si>
  <si>
    <t>DESCRIÇÃO</t>
  </si>
  <si>
    <t>HORISTA %</t>
  </si>
  <si>
    <t>MENSALISTA 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</si>
  <si>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</si>
  <si>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</si>
  <si>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</si>
  <si>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</si>
  <si>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</si>
  <si>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</si>
  <si>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</si>
  <si>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</si>
  <si>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</si>
  <si>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</si>
  <si>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</si>
  <si>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</si>
  <si>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</si>
  <si>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</si>
  <si>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</si>
  <si>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</si>
  <si>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</si>
  <si>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</si>
  <si>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</si>
  <si>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</si>
  <si>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</si>
  <si>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</si>
  <si>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</si>
  <si>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</si>
  <si>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</si>
  <si>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</si>
  <si>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</si>
  <si>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</si>
  <si>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</si>
  <si>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</si>
  <si>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</si>
  <si>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</si>
  <si>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</si>
  <si>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</si>
  <si>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</si>
  <si>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</si>
  <si>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</si>
  <si>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</si>
  <si>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</si>
  <si>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</si>
  <si>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</si>
  <si>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</si>
  <si>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</si>
  <si>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</si>
  <si>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</si>
  <si>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</si>
  <si>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</si>
  <si>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</si>
  <si>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</si>
  <si>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</si>
  <si>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</si>
  <si>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</si>
  <si>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</si>
  <si>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</si>
  <si>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</si>
  <si>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REINCIDÊNCIA DE GRUPO A SOBRE AVISO PRÉVIO TRABALHADO E REINCIDÊNCIA DO FGTS SOBRE AVISO PRÉVIO INDENIZADO</t>
  </si>
  <si>
    <t>D</t>
  </si>
  <si>
    <t>TOTAL GERAL (A + B +C +D)</t>
  </si>
  <si>
    <t>_________________________________________________</t>
  </si>
  <si>
    <t>REINCIDÊNCIA DE GRUPO A SOBRE GRUPO B (SEM CONSIDERAR INSS SOBRE 13º, CONFORME LEI Nº 14.973/2024)</t>
  </si>
  <si>
    <t>PROPOSTA</t>
  </si>
  <si>
    <t>PLANILHA PROPOSTA</t>
  </si>
  <si>
    <t>BDI Diferenciado:</t>
  </si>
  <si>
    <t>BDI:</t>
  </si>
  <si>
    <t>Desconto:</t>
  </si>
  <si>
    <t>Valor Unit Licitação</t>
  </si>
  <si>
    <t>Valor Unit com BDI Licitação</t>
  </si>
  <si>
    <t>Valor Unit Proposta</t>
  </si>
  <si>
    <t>Total Licitação</t>
  </si>
  <si>
    <t>Valor Unit com BDI Proposta</t>
  </si>
  <si>
    <t>Total Proposta</t>
  </si>
  <si>
    <t>____________________________________________________________________</t>
  </si>
  <si>
    <t>PREÇO TOTAL COM BDI</t>
  </si>
  <si>
    <t>TOTAL PROPOSTA</t>
  </si>
  <si>
    <t>Valor por unidade</t>
  </si>
  <si>
    <t>Período 1 - Dias 1 a 30</t>
  </si>
  <si>
    <t>Período 2 - Dias 31 a 60</t>
  </si>
  <si>
    <t>Período 3 - Dias 61 a 90</t>
  </si>
  <si>
    <t>Período 4 - Dias 91 a 120</t>
  </si>
  <si>
    <t>Período 5 - Dias 121 a 150</t>
  </si>
  <si>
    <t>Período 6 - Dias 151 a 180</t>
  </si>
  <si>
    <t>TOTAIS (R$)</t>
  </si>
  <si>
    <t>ACUMULADOS (R$)</t>
  </si>
  <si>
    <t>RESPONSÁVEL TÉCNICO PELA ELABORAÇÃO DA PLANILHA (NOME COMPLETO)</t>
  </si>
  <si>
    <t>Empresa licitante: PREENCHER SOMENTE AS CÉLULAS EM AMARELO.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</si>
</sst>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\-[$R$-416]\ #,##0.00"/>
    <numFmt numFmtId="165" formatCode="#,##0.00\ %"/>
    <numFmt numFmtId="166" formatCode="_(* #,##0.00_);_(* \(#,##0.00\);_(* \-??_);_(@_)"/>
    <numFmt numFmtId="167" formatCode="_(* #,##0.00_);_(* \(#,##0.00\);_(* &quot;-&quot;??_);_(@_)"/>
    <numFmt numFmtId="168" formatCode="#,##0.00;[Red]#,##0.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11"/>
      <color rgb="FF000000"/>
      <name val="Arial"/>
      <family val="2"/>
    </font>
    <font>
      <b/>
      <sz val="30"/>
      <color theme="1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2"/>
      <color rgb="FF000000"/>
      <name val="V"/>
      <charset val="1"/>
    </font>
    <font>
      <b/>
      <sz val="11"/>
      <color rgb="FF000000"/>
      <name val="Lucida Sans Unicode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9.35"/>
      <color rgb="FF0000FF"/>
      <name val="Calibri"/>
      <family val="2"/>
      <charset val="1"/>
    </font>
    <font>
      <b/>
      <sz val="16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0" tint="-0.499984740745262"/>
      <name val="Arial"/>
      <family val="2"/>
    </font>
    <font>
      <b/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93CDDD"/>
        <bgColor rgb="FFC0C0C0"/>
      </patternFill>
    </fill>
    <fill>
      <patternFill patternType="solid">
        <fgColor rgb="FF9BBB59"/>
        <bgColor rgb="FF969696"/>
      </patternFill>
    </fill>
    <fill>
      <patternFill patternType="solid">
        <fgColor rgb="FF969696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24" fillId="0" borderId="0" applyBorder="0" applyProtection="0"/>
    <xf numFmtId="167" fontId="28" fillId="0" borderId="0" applyFont="0" applyFill="0" applyBorder="0" applyAlignment="0" applyProtection="0"/>
    <xf numFmtId="0" fontId="34" fillId="0" borderId="0" applyBorder="0" applyProtection="0"/>
    <xf numFmtId="9" fontId="28" fillId="0" borderId="0" applyFont="0" applyFill="0" applyBorder="0" applyAlignment="0" applyProtection="0"/>
    <xf numFmtId="0" fontId="28" fillId="0" borderId="0"/>
  </cellStyleXfs>
  <cellXfs count="210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/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44" fontId="0" fillId="2" borderId="0" xfId="2" applyFont="1" applyFill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10" fontId="1" fillId="0" borderId="12" xfId="3" applyNumberFormat="1" applyBorder="1" applyAlignment="1" applyProtection="1">
      <alignment horizontal="center"/>
    </xf>
    <xf numFmtId="10" fontId="26" fillId="0" borderId="0" xfId="5" applyNumberFormat="1" applyFont="1" applyBorder="1" applyAlignment="1" applyProtection="1">
      <alignment horizontal="center" vertical="center"/>
    </xf>
    <xf numFmtId="10" fontId="26" fillId="0" borderId="13" xfId="5" applyNumberFormat="1" applyFont="1" applyBorder="1" applyAlignment="1" applyProtection="1">
      <alignment horizontal="center" vertical="center" wrapText="1"/>
    </xf>
    <xf numFmtId="10" fontId="27" fillId="0" borderId="0" xfId="5" applyNumberFormat="1" applyFont="1" applyBorder="1" applyAlignment="1" applyProtection="1">
      <alignment horizontal="center"/>
    </xf>
    <xf numFmtId="10" fontId="27" fillId="0" borderId="13" xfId="5" applyNumberFormat="1" applyFont="1" applyBorder="1" applyAlignment="1" applyProtection="1">
      <alignment horizontal="center"/>
    </xf>
    <xf numFmtId="10" fontId="27" fillId="0" borderId="0" xfId="5" applyNumberFormat="1" applyFont="1" applyBorder="1" applyAlignment="1" applyProtection="1">
      <alignment horizontal="center" vertical="center"/>
    </xf>
    <xf numFmtId="10" fontId="27" fillId="0" borderId="13" xfId="5" applyNumberFormat="1" applyFont="1" applyBorder="1" applyAlignment="1" applyProtection="1">
      <alignment horizontal="center" vertical="center"/>
    </xf>
    <xf numFmtId="10" fontId="26" fillId="0" borderId="13" xfId="5" applyNumberFormat="1" applyFont="1" applyBorder="1" applyAlignment="1" applyProtection="1">
      <alignment horizontal="center" vertical="center"/>
    </xf>
    <xf numFmtId="0" fontId="15" fillId="0" borderId="0" xfId="4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36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44" fontId="6" fillId="2" borderId="0" xfId="2" applyFont="1" applyFill="1" applyBorder="1" applyAlignment="1">
      <alignment vertical="center" wrapText="1"/>
    </xf>
    <xf numFmtId="0" fontId="15" fillId="0" borderId="0" xfId="4" applyFont="1" applyAlignment="1">
      <alignment horizontal="centerContinuous" vertical="center" wrapText="1"/>
    </xf>
    <xf numFmtId="4" fontId="31" fillId="0" borderId="0" xfId="0" applyNumberFormat="1" applyFont="1" applyAlignment="1">
      <alignment vertical="center"/>
    </xf>
    <xf numFmtId="0" fontId="15" fillId="0" borderId="15" xfId="4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vertical="center"/>
    </xf>
    <xf numFmtId="0" fontId="33" fillId="11" borderId="0" xfId="0" applyFont="1" applyFill="1" applyAlignment="1" applyProtection="1">
      <alignment horizontal="centerContinuous" vertical="center"/>
      <protection locked="0"/>
    </xf>
    <xf numFmtId="10" fontId="27" fillId="0" borderId="18" xfId="5" applyNumberFormat="1" applyFont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/>
      <protection locked="0"/>
    </xf>
    <xf numFmtId="10" fontId="0" fillId="11" borderId="1" xfId="3" applyNumberFormat="1" applyFont="1" applyFill="1" applyBorder="1" applyAlignment="1" applyProtection="1">
      <alignment horizontal="center"/>
      <protection locked="0"/>
    </xf>
    <xf numFmtId="0" fontId="37" fillId="0" borderId="0" xfId="0" applyFont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Continuous" vertical="center" wrapText="1"/>
    </xf>
    <xf numFmtId="0" fontId="15" fillId="0" borderId="14" xfId="4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vertical="center"/>
    </xf>
    <xf numFmtId="0" fontId="6" fillId="0" borderId="14" xfId="0" applyFont="1" applyBorder="1" applyAlignment="1">
      <alignment wrapText="1"/>
    </xf>
    <xf numFmtId="0" fontId="37" fillId="0" borderId="15" xfId="0" applyFont="1" applyBorder="1" applyAlignment="1">
      <alignment horizontal="centerContinuous" vertical="center" wrapText="1"/>
    </xf>
    <xf numFmtId="0" fontId="6" fillId="0" borderId="16" xfId="0" applyFont="1" applyBorder="1" applyAlignment="1">
      <alignment wrapText="1"/>
    </xf>
    <xf numFmtId="0" fontId="30" fillId="2" borderId="0" xfId="0" applyFont="1" applyFill="1" applyAlignment="1">
      <alignment horizontal="center" vertical="center" wrapText="1"/>
    </xf>
    <xf numFmtId="0" fontId="10" fillId="11" borderId="0" xfId="0" applyFont="1" applyFill="1" applyAlignment="1" applyProtection="1">
      <alignment horizontal="centerContinuous" vertical="center"/>
      <protection locked="0"/>
    </xf>
    <xf numFmtId="43" fontId="0" fillId="2" borderId="0" xfId="1" applyFont="1" applyFill="1" applyAlignment="1" applyProtection="1">
      <alignment vertical="center" wrapText="1"/>
    </xf>
    <xf numFmtId="0" fontId="30" fillId="2" borderId="1" xfId="0" applyFont="1" applyFill="1" applyBorder="1" applyAlignment="1">
      <alignment horizontal="center" vertical="center" wrapText="1"/>
    </xf>
    <xf numFmtId="164" fontId="35" fillId="2" borderId="1" xfId="2" applyNumberFormat="1" applyFont="1" applyFill="1" applyBorder="1" applyAlignment="1" applyProtection="1">
      <alignment horizontal="center" vertical="center" wrapText="1"/>
    </xf>
    <xf numFmtId="44" fontId="6" fillId="2" borderId="0" xfId="2" applyFont="1" applyFill="1" applyAlignment="1" applyProtection="1">
      <alignment vertical="center" wrapText="1"/>
    </xf>
    <xf numFmtId="44" fontId="0" fillId="2" borderId="0" xfId="2" applyFont="1" applyFill="1" applyAlignment="1" applyProtection="1">
      <alignment vertical="center" wrapText="1"/>
    </xf>
    <xf numFmtId="164" fontId="35" fillId="2" borderId="0" xfId="2" applyNumberFormat="1" applyFont="1" applyFill="1" applyBorder="1" applyAlignment="1" applyProtection="1">
      <alignment vertical="center" wrapText="1"/>
    </xf>
    <xf numFmtId="0" fontId="33" fillId="11" borderId="0" xfId="0" applyFont="1" applyFill="1" applyAlignment="1">
      <alignment vertical="center"/>
    </xf>
    <xf numFmtId="10" fontId="27" fillId="11" borderId="0" xfId="5" applyNumberFormat="1" applyFont="1" applyFill="1" applyBorder="1" applyAlignment="1" applyProtection="1">
      <alignment horizontal="center" vertical="center"/>
      <protection locked="0"/>
    </xf>
    <xf numFmtId="49" fontId="27" fillId="0" borderId="11" xfId="0" applyNumberFormat="1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166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vertical="center"/>
    </xf>
    <xf numFmtId="166" fontId="26" fillId="0" borderId="0" xfId="0" applyNumberFormat="1" applyFont="1" applyAlignment="1">
      <alignment horizontal="right" vertical="center"/>
    </xf>
    <xf numFmtId="49" fontId="26" fillId="0" borderId="11" xfId="0" applyNumberFormat="1" applyFont="1" applyBorder="1" applyAlignment="1">
      <alignment horizontal="center"/>
    </xf>
    <xf numFmtId="166" fontId="26" fillId="0" borderId="0" xfId="0" applyNumberFormat="1" applyFont="1"/>
    <xf numFmtId="166" fontId="27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0" fontId="0" fillId="0" borderId="1" xfId="3" applyNumberFormat="1" applyFont="1" applyBorder="1" applyAlignment="1" applyProtection="1">
      <alignment horizontal="center"/>
    </xf>
    <xf numFmtId="0" fontId="0" fillId="10" borderId="1" xfId="0" applyFill="1" applyBorder="1" applyAlignment="1">
      <alignment horizontal="centerContinuous"/>
    </xf>
    <xf numFmtId="10" fontId="0" fillId="10" borderId="1" xfId="3" applyNumberFormat="1" applyFont="1" applyFill="1" applyBorder="1" applyAlignment="1" applyProtection="1">
      <alignment horizontal="center"/>
    </xf>
    <xf numFmtId="9" fontId="0" fillId="0" borderId="0" xfId="3" applyFont="1" applyFill="1" applyBorder="1" applyAlignment="1" applyProtection="1">
      <alignment horizontal="center"/>
    </xf>
    <xf numFmtId="0" fontId="0" fillId="0" borderId="1" xfId="0" applyBorder="1" applyAlignment="1">
      <alignment horizontal="center" wrapText="1"/>
    </xf>
    <xf numFmtId="0" fontId="0" fillId="10" borderId="1" xfId="0" applyFill="1" applyBorder="1" applyAlignment="1">
      <alignment horizontal="centerContinuous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right"/>
    </xf>
    <xf numFmtId="0" fontId="2" fillId="10" borderId="1" xfId="0" applyFont="1" applyFill="1" applyBorder="1" applyAlignment="1">
      <alignment horizontal="centerContinuous"/>
    </xf>
    <xf numFmtId="0" fontId="0" fillId="0" borderId="14" xfId="0" applyBorder="1"/>
    <xf numFmtId="10" fontId="38" fillId="12" borderId="0" xfId="3" applyNumberFormat="1" applyFont="1" applyFill="1" applyAlignment="1" applyProtection="1">
      <alignment horizontal="left" vertical="center" wrapText="1"/>
      <protection locked="0"/>
    </xf>
    <xf numFmtId="0" fontId="3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Continuous" vertical="top" wrapText="1"/>
    </xf>
    <xf numFmtId="0" fontId="17" fillId="3" borderId="8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right" vertical="top" wrapText="1"/>
    </xf>
    <xf numFmtId="0" fontId="17" fillId="3" borderId="8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right" vertical="top" wrapText="1"/>
    </xf>
    <xf numFmtId="4" fontId="19" fillId="4" borderId="8" xfId="0" applyNumberFormat="1" applyFont="1" applyFill="1" applyBorder="1" applyAlignment="1">
      <alignment horizontal="right" vertical="top" wrapText="1"/>
    </xf>
    <xf numFmtId="165" fontId="19" fillId="4" borderId="8" xfId="0" applyNumberFormat="1" applyFont="1" applyFill="1" applyBorder="1" applyAlignment="1">
      <alignment horizontal="right" vertical="top" wrapText="1"/>
    </xf>
    <xf numFmtId="0" fontId="20" fillId="5" borderId="8" xfId="0" applyFont="1" applyFill="1" applyBorder="1" applyAlignment="1">
      <alignment horizontal="left" vertical="top" wrapText="1"/>
    </xf>
    <xf numFmtId="0" fontId="20" fillId="5" borderId="8" xfId="0" applyFont="1" applyFill="1" applyBorder="1" applyAlignment="1">
      <alignment horizontal="center" vertical="top" wrapText="1"/>
    </xf>
    <xf numFmtId="0" fontId="20" fillId="5" borderId="8" xfId="0" applyFont="1" applyFill="1" applyBorder="1" applyAlignment="1">
      <alignment horizontal="right" vertical="top" wrapText="1"/>
    </xf>
    <xf numFmtId="4" fontId="20" fillId="5" borderId="8" xfId="0" applyNumberFormat="1" applyFont="1" applyFill="1" applyBorder="1" applyAlignment="1">
      <alignment horizontal="right" vertical="top" wrapText="1"/>
    </xf>
    <xf numFmtId="165" fontId="20" fillId="5" borderId="8" xfId="0" applyNumberFormat="1" applyFont="1" applyFill="1" applyBorder="1" applyAlignment="1">
      <alignment horizontal="right" vertical="top" wrapText="1"/>
    </xf>
    <xf numFmtId="0" fontId="20" fillId="6" borderId="8" xfId="0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center" vertical="top" wrapText="1"/>
    </xf>
    <xf numFmtId="0" fontId="20" fillId="6" borderId="8" xfId="0" applyFont="1" applyFill="1" applyBorder="1" applyAlignment="1">
      <alignment horizontal="right" vertical="top" wrapText="1"/>
    </xf>
    <xf numFmtId="4" fontId="20" fillId="6" borderId="8" xfId="0" applyNumberFormat="1" applyFont="1" applyFill="1" applyBorder="1" applyAlignment="1">
      <alignment horizontal="right" vertical="top" wrapText="1"/>
    </xf>
    <xf numFmtId="165" fontId="20" fillId="6" borderId="8" xfId="0" applyNumberFormat="1" applyFont="1" applyFill="1" applyBorder="1" applyAlignment="1">
      <alignment horizontal="right" vertical="top" wrapText="1"/>
    </xf>
    <xf numFmtId="0" fontId="21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right" vertical="top" wrapText="1"/>
    </xf>
    <xf numFmtId="0" fontId="21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vertical="top" wrapText="1"/>
    </xf>
    <xf numFmtId="4" fontId="18" fillId="3" borderId="0" xfId="0" applyNumberFormat="1" applyFont="1" applyFill="1" applyAlignment="1">
      <alignment vertical="top" wrapText="1"/>
    </xf>
    <xf numFmtId="0" fontId="18" fillId="3" borderId="0" xfId="0" applyFont="1" applyFill="1" applyAlignment="1">
      <alignment horizontal="center" vertical="top" wrapText="1"/>
    </xf>
    <xf numFmtId="0" fontId="21" fillId="3" borderId="0" xfId="0" applyFont="1" applyFill="1" applyAlignment="1">
      <alignment vertical="top" wrapText="1"/>
    </xf>
    <xf numFmtId="0" fontId="38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165" fontId="38" fillId="3" borderId="0" xfId="0" applyNumberFormat="1" applyFont="1" applyFill="1" applyAlignment="1">
      <alignment horizontal="left" vertical="center" wrapText="1"/>
    </xf>
    <xf numFmtId="10" fontId="38" fillId="3" borderId="0" xfId="3" applyNumberFormat="1" applyFont="1" applyFill="1" applyAlignment="1" applyProtection="1">
      <alignment horizontal="left" vertical="center" wrapText="1"/>
    </xf>
    <xf numFmtId="10" fontId="28" fillId="11" borderId="1" xfId="8" applyNumberFormat="1" applyFont="1" applyFill="1" applyBorder="1" applyAlignment="1" applyProtection="1">
      <alignment horizontal="center" vertical="center"/>
      <protection locked="0"/>
    </xf>
    <xf numFmtId="0" fontId="40" fillId="0" borderId="20" xfId="4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4" fontId="29" fillId="0" borderId="7" xfId="2" applyFont="1" applyBorder="1" applyAlignment="1" applyProtection="1">
      <alignment vertical="center"/>
    </xf>
    <xf numFmtId="10" fontId="29" fillId="0" borderId="7" xfId="3" applyNumberFormat="1" applyFont="1" applyBorder="1" applyAlignment="1" applyProtection="1">
      <alignment vertical="center"/>
    </xf>
    <xf numFmtId="168" fontId="39" fillId="0" borderId="1" xfId="9" applyNumberFormat="1" applyFont="1" applyBorder="1" applyAlignment="1">
      <alignment horizontal="center"/>
    </xf>
    <xf numFmtId="0" fontId="40" fillId="0" borderId="7" xfId="4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44" fontId="29" fillId="0" borderId="22" xfId="2" applyFont="1" applyBorder="1" applyAlignment="1" applyProtection="1">
      <alignment vertical="center"/>
    </xf>
    <xf numFmtId="10" fontId="29" fillId="0" borderId="5" xfId="3" applyNumberFormat="1" applyFont="1" applyBorder="1" applyAlignment="1" applyProtection="1">
      <alignment vertical="center"/>
    </xf>
    <xf numFmtId="44" fontId="28" fillId="0" borderId="1" xfId="2" applyFont="1" applyBorder="1" applyAlignment="1" applyProtection="1">
      <alignment horizontal="center"/>
    </xf>
    <xf numFmtId="44" fontId="29" fillId="0" borderId="1" xfId="2" applyFont="1" applyBorder="1" applyAlignment="1" applyProtection="1">
      <alignment horizontal="center"/>
    </xf>
    <xf numFmtId="10" fontId="29" fillId="0" borderId="1" xfId="3" applyNumberFormat="1" applyFont="1" applyBorder="1" applyAlignment="1" applyProtection="1">
      <alignment horizontal="center"/>
    </xf>
    <xf numFmtId="10" fontId="0" fillId="0" borderId="0" xfId="0" applyNumberFormat="1"/>
    <xf numFmtId="0" fontId="0" fillId="0" borderId="6" xfId="0" applyBorder="1"/>
    <xf numFmtId="0" fontId="0" fillId="0" borderId="21" xfId="0" applyBorder="1"/>
    <xf numFmtId="44" fontId="29" fillId="0" borderId="20" xfId="2" applyFont="1" applyBorder="1" applyAlignment="1" applyProtection="1">
      <alignment vertical="center"/>
    </xf>
    <xf numFmtId="10" fontId="29" fillId="0" borderId="20" xfId="3" applyNumberFormat="1" applyFont="1" applyBorder="1" applyAlignment="1" applyProtection="1">
      <alignment vertical="center"/>
    </xf>
    <xf numFmtId="0" fontId="37" fillId="0" borderId="0" xfId="0" applyFont="1"/>
    <xf numFmtId="0" fontId="29" fillId="13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13" fillId="11" borderId="2" xfId="0" applyFont="1" applyFill="1" applyBorder="1" applyAlignment="1" applyProtection="1">
      <alignment horizontal="left" vertical="center" wrapText="1"/>
      <protection locked="0"/>
    </xf>
    <xf numFmtId="0" fontId="12" fillId="11" borderId="3" xfId="0" applyFont="1" applyFill="1" applyBorder="1" applyAlignment="1" applyProtection="1">
      <alignment horizontal="left" vertical="center" wrapText="1"/>
      <protection locked="0"/>
    </xf>
    <xf numFmtId="0" fontId="12" fillId="11" borderId="4" xfId="0" applyFont="1" applyFill="1" applyBorder="1" applyAlignment="1" applyProtection="1">
      <alignment horizontal="left" vertical="center" wrapText="1"/>
      <protection locked="0"/>
    </xf>
    <xf numFmtId="0" fontId="12" fillId="11" borderId="5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0" fontId="26" fillId="0" borderId="13" xfId="5" applyNumberFormat="1" applyFont="1" applyBorder="1" applyAlignment="1" applyProtection="1">
      <alignment horizontal="center" vertical="center"/>
    </xf>
    <xf numFmtId="10" fontId="26" fillId="0" borderId="19" xfId="5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6" fontId="26" fillId="0" borderId="0" xfId="0" applyNumberFormat="1" applyFont="1" applyAlignment="1">
      <alignment wrapText="1"/>
    </xf>
    <xf numFmtId="166" fontId="26" fillId="0" borderId="0" xfId="0" applyNumberFormat="1" applyFont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166" fontId="26" fillId="0" borderId="0" xfId="0" applyNumberFormat="1" applyFont="1" applyAlignment="1">
      <alignment horizontal="right" vertical="center"/>
    </xf>
    <xf numFmtId="49" fontId="26" fillId="0" borderId="17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horizontal="left" vertical="center" wrapText="1"/>
    </xf>
    <xf numFmtId="166" fontId="26" fillId="0" borderId="0" xfId="0" applyNumberFormat="1" applyFont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5" fillId="9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0" fontId="27" fillId="11" borderId="0" xfId="5" applyNumberFormat="1" applyFont="1" applyFill="1" applyBorder="1" applyAlignment="1" applyProtection="1">
      <alignment horizontal="center" vertical="center"/>
      <protection locked="0"/>
    </xf>
    <xf numFmtId="0" fontId="22" fillId="7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/>
    </xf>
    <xf numFmtId="0" fontId="17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right" vertical="top" wrapText="1"/>
    </xf>
    <xf numFmtId="4" fontId="18" fillId="3" borderId="0" xfId="0" applyNumberFormat="1" applyFont="1" applyFill="1" applyAlignment="1">
      <alignment horizontal="right" vertical="top" wrapText="1"/>
    </xf>
    <xf numFmtId="0" fontId="32" fillId="0" borderId="2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44" fontId="29" fillId="0" borderId="6" xfId="2" applyFont="1" applyBorder="1" applyAlignment="1" applyProtection="1">
      <alignment horizontal="center" vertical="center"/>
    </xf>
    <xf numFmtId="44" fontId="29" fillId="0" borderId="20" xfId="2" applyFont="1" applyBorder="1" applyAlignment="1" applyProtection="1">
      <alignment horizontal="center" vertical="center"/>
    </xf>
    <xf numFmtId="44" fontId="29" fillId="0" borderId="7" xfId="2" applyFont="1" applyBorder="1" applyAlignment="1" applyProtection="1">
      <alignment horizontal="center" vertical="center"/>
    </xf>
    <xf numFmtId="9" fontId="29" fillId="0" borderId="1" xfId="3" applyFont="1" applyBorder="1" applyAlignment="1" applyProtection="1">
      <alignment horizontal="center" vertical="center"/>
    </xf>
    <xf numFmtId="0" fontId="32" fillId="0" borderId="1" xfId="0" applyFont="1" applyBorder="1" applyAlignment="1">
      <alignment horizontal="right" vertical="center" wrapText="1"/>
    </xf>
    <xf numFmtId="0" fontId="29" fillId="13" borderId="14" xfId="0" applyFont="1" applyFill="1" applyBorder="1" applyAlignment="1">
      <alignment horizontal="center" wrapText="1"/>
    </xf>
    <xf numFmtId="0" fontId="29" fillId="13" borderId="15" xfId="0" applyFont="1" applyFill="1" applyBorder="1" applyAlignment="1">
      <alignment horizontal="center" wrapText="1"/>
    </xf>
    <xf numFmtId="0" fontId="29" fillId="13" borderId="16" xfId="0" applyFont="1" applyFill="1" applyBorder="1" applyAlignment="1">
      <alignment horizontal="center" wrapText="1"/>
    </xf>
  </cellXfs>
  <cellStyles count="10">
    <cellStyle name="Excel Built-in Explanatory Text" xfId="5" xr:uid="{C20ED86F-77AF-4D00-AC1F-3F4EB7C399E0}"/>
    <cellStyle name="Hiperlink 2" xfId="7" xr:uid="{2AA2A56A-A1C7-4696-81FE-059DB9CA5BD4}"/>
    <cellStyle name="Moeda" xfId="2" builtinId="4"/>
    <cellStyle name="Normal" xfId="0" builtinId="0"/>
    <cellStyle name="Normal 2" xfId="4" xr:uid="{2CB8015F-7FEA-4CC7-A0AA-9E82E11DFD63}"/>
    <cellStyle name="Normal 2 10" xfId="9" xr:uid="{64833F5C-8A56-4265-8CCB-3116D80B8488}"/>
    <cellStyle name="Porcentagem" xfId="3" builtinId="5"/>
    <cellStyle name="Porcentagem 3 2" xfId="8" xr:uid="{BFC5C55F-75DC-4BA7-B447-6E19DE499431}"/>
    <cellStyle name="Separador de milhares 5" xfId="6" xr:uid="{2C93A573-C21D-48F0-88BC-51D827D5A553}"/>
    <cellStyle name="Vírgula" xfId="1" builtinId="3"/>
  </cellStyles>
  <dxfs count="1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284223</xdr:colOff>
      <xdr:row>25</xdr:row>
      <xdr:rowOff>56788</xdr:rowOff>
    </xdr:from>
    <xdr:to>
      <xdr:col>3</xdr:col>
      <xdr:colOff>168018</xdr:colOff>
      <xdr:row>30</xdr:row>
      <xdr:rowOff>76589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E741FA-EB57-448B-A614-CC47223D3D63}"/>
            </a:ext>
          </a:extLst>
        </xdr:cNvPr>
        <xdr:cNvPicPr/>
      </xdr:nvPicPr>
      <xdr:blipFill>
        <a:blip xmlns:r="http://schemas.openxmlformats.org/officeDocument/2006/relationships" r:embed="rId1"/>
        <a:srcRect b="73333"/>
        <a:stretch/>
      </xdr:blipFill>
      <xdr:spPr>
        <a:xfrm>
          <a:off x="904282" y="5106906"/>
          <a:ext cx="4709795" cy="95362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136440</xdr:colOff>
      <xdr:row>56</xdr:row>
      <xdr:rowOff>22320</xdr:rowOff>
    </xdr:from>
    <xdr:to>
      <xdr:col>3</xdr:col>
      <xdr:colOff>470865</xdr:colOff>
      <xdr:row>61</xdr:row>
      <xdr:rowOff>41040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204005B-5A81-4F03-AF6D-F40F269FB158}"/>
            </a:ext>
          </a:extLst>
        </xdr:cNvPr>
        <xdr:cNvPicPr/>
      </xdr:nvPicPr>
      <xdr:blipFill>
        <a:blip xmlns:r="http://schemas.openxmlformats.org/officeDocument/2006/relationships" r:embed="rId1"/>
        <a:srcRect b="73333"/>
        <a:stretch/>
      </xdr:blipFill>
      <xdr:spPr>
        <a:xfrm>
          <a:off x="7718340" y="13366845"/>
          <a:ext cx="5163600" cy="97122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E44E-4692-47E9-A528-8A15192101AF}">
  <dimension ref="A1:K416"/>
  <sheetViews>
    <sheetView showGridLines="0" tabSelected="1" view="pageBreakPreview" zoomScaleNormal="100" zoomScaleSheetLayoutView="100" workbookViewId="0">
      <selection activeCell="H3" sqref="H3"/>
    </sheetView>
  </sheetViews>
  <sheetFormatPr defaultRowHeight="14.5"/>
  <cols>
    <col min="1" max="1" width="4.81640625" style="7" customWidth="1"/>
    <col min="2" max="2" width="52.08984375" style="8" customWidth="1"/>
    <col min="3" max="3" width="52.08984375" style="9" customWidth="1"/>
    <col min="4" max="4" width="4.81640625" style="10" customWidth="1"/>
    <col min="5" max="5" width="12.54296875" style="1" customWidth="1"/>
    <col min="6" max="6" width="16.90625" style="1" bestFit="1" customWidth="1"/>
    <col min="7" max="7" width="11.81640625" style="1" customWidth="1"/>
    <col min="8" max="8" width="22.36328125" style="1" bestFit="1" customWidth="1"/>
    <col min="9" max="9" width="16.6328125" customWidth="1"/>
    <col min="12" max="12" width="37.54296875" customWidth="1"/>
    <col min="14" max="14" width="13.26953125" customWidth="1"/>
    <col min="16" max="16" width="21.36328125" customWidth="1"/>
    <col min="19" max="19" width="13.7265625" customWidth="1"/>
  </cols>
  <sheetData>
    <row r="1" spans="1:8" ht="36.75" customHeight="1"/>
    <row r="2" spans="1:8" ht="37.5" customHeight="1">
      <c r="B2" s="156" t="s">
        <v>1142</v>
      </c>
      <c r="C2" s="156"/>
    </row>
    <row r="3" spans="1:8" s="4" customFormat="1" ht="24" customHeight="1">
      <c r="A3" s="12"/>
      <c r="B3" s="159" t="s">
        <v>1240</v>
      </c>
      <c r="C3" s="160"/>
      <c r="D3" s="14"/>
      <c r="E3" s="5"/>
      <c r="F3" s="5"/>
      <c r="G3" s="5"/>
      <c r="H3" s="5"/>
    </row>
    <row r="4" spans="1:8" s="4" customFormat="1" ht="24" customHeight="1">
      <c r="A4" s="12"/>
      <c r="B4" s="161"/>
      <c r="C4" s="162"/>
      <c r="D4" s="14"/>
      <c r="E4" s="5"/>
      <c r="F4" s="3"/>
      <c r="G4" s="5"/>
      <c r="H4" s="5"/>
    </row>
    <row r="5" spans="1:8" s="4" customFormat="1" ht="47.25" customHeight="1">
      <c r="A5" s="12"/>
      <c r="B5" s="157" t="s">
        <v>1143</v>
      </c>
      <c r="C5" s="157"/>
      <c r="D5" s="11"/>
      <c r="E5" s="2"/>
      <c r="F5" s="2"/>
      <c r="G5" s="2"/>
      <c r="H5" s="2"/>
    </row>
    <row r="6" spans="1:8" ht="15" customHeight="1">
      <c r="D6" s="11"/>
      <c r="E6" s="2"/>
      <c r="F6" s="2"/>
      <c r="G6" s="2"/>
      <c r="H6" s="2"/>
    </row>
    <row r="7" spans="1:8" ht="15.5">
      <c r="B7" s="3"/>
      <c r="C7" s="3"/>
      <c r="D7" s="3"/>
      <c r="E7" s="3"/>
      <c r="F7" s="3"/>
      <c r="G7" s="3"/>
      <c r="H7" s="3"/>
    </row>
    <row r="8" spans="1:8" s="4" customFormat="1">
      <c r="A8" s="12"/>
      <c r="B8" s="8"/>
      <c r="C8" s="8"/>
      <c r="D8" s="10"/>
      <c r="E8" s="1"/>
      <c r="F8" s="1"/>
      <c r="G8" s="1"/>
      <c r="H8" s="1"/>
    </row>
    <row r="9" spans="1:8" s="4" customFormat="1" ht="25">
      <c r="A9" s="12"/>
      <c r="B9" s="158"/>
      <c r="C9" s="158"/>
      <c r="D9" s="10"/>
      <c r="E9" s="1"/>
      <c r="F9" s="3"/>
      <c r="G9" s="1"/>
      <c r="H9" s="1"/>
    </row>
    <row r="10" spans="1:8" s="4" customFormat="1" ht="24" customHeight="1">
      <c r="A10" s="12"/>
      <c r="B10" s="163" t="s">
        <v>434</v>
      </c>
      <c r="C10" s="164"/>
      <c r="D10" s="14"/>
      <c r="E10" s="5"/>
      <c r="F10" s="5"/>
      <c r="G10" s="5"/>
      <c r="H10" s="5"/>
    </row>
    <row r="11" spans="1:8" s="4" customFormat="1" ht="24" customHeight="1">
      <c r="A11" s="12"/>
      <c r="B11" s="165"/>
      <c r="C11" s="166"/>
      <c r="D11" s="14"/>
      <c r="E11" s="5"/>
      <c r="F11" s="3"/>
      <c r="G11" s="5"/>
      <c r="H11" s="5"/>
    </row>
    <row r="12" spans="1:8" s="4" customFormat="1" ht="47.25" customHeight="1">
      <c r="A12" s="12"/>
      <c r="B12" s="153" t="s">
        <v>437</v>
      </c>
      <c r="C12" s="153"/>
      <c r="D12" s="11"/>
      <c r="E12" s="2"/>
      <c r="F12" s="2"/>
      <c r="G12" s="2"/>
      <c r="H12" s="2"/>
    </row>
    <row r="13" spans="1:8" ht="22" customHeight="1">
      <c r="B13" s="154" t="s">
        <v>435</v>
      </c>
      <c r="C13" s="154"/>
      <c r="D13" s="11"/>
      <c r="E13" s="2"/>
      <c r="F13" s="2"/>
      <c r="G13" s="2"/>
      <c r="H13" s="2"/>
    </row>
    <row r="14" spans="1:8" ht="22" customHeight="1">
      <c r="B14" s="155" t="s">
        <v>2</v>
      </c>
      <c r="C14" s="155"/>
      <c r="D14" s="11"/>
      <c r="E14" s="2"/>
      <c r="F14" s="2"/>
      <c r="G14" s="2"/>
      <c r="H14" s="2"/>
    </row>
    <row r="15" spans="1:8" ht="22" customHeight="1">
      <c r="B15" s="155" t="s">
        <v>436</v>
      </c>
      <c r="C15" s="155"/>
      <c r="D15" s="14"/>
      <c r="E15" s="5"/>
      <c r="F15" s="5"/>
      <c r="G15" s="5"/>
      <c r="H15" s="5"/>
    </row>
    <row r="16" spans="1:8" ht="26.25" customHeight="1">
      <c r="B16" s="11"/>
      <c r="C16" s="11"/>
      <c r="D16" s="11"/>
      <c r="E16" s="2"/>
      <c r="F16" s="56"/>
      <c r="G16" s="2"/>
      <c r="H16" s="2"/>
    </row>
    <row r="17" spans="2:11" ht="31.5" customHeight="1">
      <c r="B17" s="156" t="s">
        <v>433</v>
      </c>
      <c r="C17" s="156"/>
      <c r="D17" s="14"/>
      <c r="E17" s="5"/>
      <c r="F17" s="5"/>
      <c r="G17" s="5"/>
      <c r="H17" s="5"/>
    </row>
    <row r="18" spans="2:11" ht="30" customHeight="1">
      <c r="B18" s="57" t="s">
        <v>443</v>
      </c>
      <c r="C18" s="58">
        <f>RESUMO!E21</f>
        <v>2647667.83</v>
      </c>
      <c r="D18" s="59"/>
      <c r="E18" s="60"/>
      <c r="F18" s="60"/>
      <c r="G18" s="60"/>
      <c r="H18" s="60"/>
    </row>
    <row r="19" spans="2:11" ht="20">
      <c r="B19" s="54"/>
      <c r="C19" s="61"/>
      <c r="D19" s="11"/>
      <c r="E19" s="2"/>
      <c r="F19" s="2"/>
      <c r="G19" s="2"/>
      <c r="H19" s="2"/>
    </row>
    <row r="20" spans="2:11" ht="20">
      <c r="B20" s="54"/>
      <c r="C20" s="61"/>
      <c r="D20" s="11"/>
      <c r="E20" s="2"/>
      <c r="F20" s="2"/>
      <c r="G20" s="2"/>
      <c r="H20" s="2"/>
    </row>
    <row r="21" spans="2:11">
      <c r="B21" s="11"/>
      <c r="C21" s="11"/>
      <c r="D21" s="11"/>
      <c r="E21" s="2"/>
      <c r="F21" s="2"/>
      <c r="G21" s="2"/>
      <c r="H21" s="2"/>
    </row>
    <row r="22" spans="2:11">
      <c r="B22" s="11"/>
      <c r="C22" s="11"/>
      <c r="D22" s="11"/>
      <c r="E22" s="2"/>
      <c r="F22" s="2"/>
      <c r="G22" s="2"/>
      <c r="H22" s="2"/>
    </row>
    <row r="23" spans="2:11" ht="21" customHeight="1">
      <c r="B23" s="11"/>
      <c r="C23" s="11"/>
      <c r="D23" s="11"/>
      <c r="E23" s="2"/>
      <c r="F23" s="2"/>
      <c r="G23" s="2"/>
      <c r="H23" s="2"/>
    </row>
    <row r="24" spans="2:11" ht="30.5" customHeight="1">
      <c r="B24" s="11"/>
      <c r="C24" s="11"/>
      <c r="D24" s="11"/>
      <c r="E24" s="2"/>
      <c r="F24" s="2"/>
      <c r="G24" s="2"/>
      <c r="H24" s="2"/>
    </row>
    <row r="25" spans="2:11" ht="30.5" customHeight="1">
      <c r="B25" s="11"/>
      <c r="C25" s="11"/>
      <c r="D25" s="11"/>
      <c r="E25" s="2"/>
      <c r="F25" s="2"/>
      <c r="G25" s="2"/>
      <c r="H25" s="2"/>
      <c r="I25" s="62"/>
      <c r="J25" s="62"/>
      <c r="K25" s="62"/>
    </row>
    <row r="26" spans="2:11" ht="30.5" customHeight="1">
      <c r="B26" s="11"/>
      <c r="C26" s="11"/>
    </row>
    <row r="27" spans="2:11" ht="30.5" customHeight="1">
      <c r="B27" s="11"/>
      <c r="C27" s="11"/>
    </row>
    <row r="28" spans="2:11" ht="30.5" customHeight="1">
      <c r="B28" s="38" t="s">
        <v>1144</v>
      </c>
      <c r="C28" s="55"/>
    </row>
    <row r="29" spans="2:11" ht="27" customHeight="1">
      <c r="B29" s="17"/>
      <c r="C29" s="16"/>
    </row>
    <row r="30" spans="2:11" ht="27" customHeight="1"/>
    <row r="35" spans="1:4">
      <c r="A35" s="151" t="s">
        <v>0</v>
      </c>
      <c r="B35" s="151"/>
      <c r="C35" s="151"/>
      <c r="D35" s="151"/>
    </row>
    <row r="36" spans="1:4" ht="15.5">
      <c r="A36" s="150" t="s">
        <v>1239</v>
      </c>
      <c r="B36" s="150"/>
      <c r="C36" s="150"/>
      <c r="D36" s="150"/>
    </row>
    <row r="37" spans="1:4" ht="15.5">
      <c r="A37" s="152" t="s">
        <v>1</v>
      </c>
      <c r="B37" s="152"/>
      <c r="C37" s="152"/>
      <c r="D37" s="152"/>
    </row>
    <row r="38" spans="1:4" ht="15.5">
      <c r="A38" s="150" t="s">
        <v>1145</v>
      </c>
      <c r="B38" s="150"/>
      <c r="C38" s="150"/>
      <c r="D38" s="150"/>
    </row>
    <row r="39" spans="1:4" ht="15.5">
      <c r="A39" s="150" t="s">
        <v>1146</v>
      </c>
      <c r="B39" s="150"/>
      <c r="C39" s="150"/>
      <c r="D39" s="150"/>
    </row>
    <row r="198" ht="15.75" customHeight="1"/>
    <row r="204" ht="48" customHeight="1"/>
    <row r="314" ht="37.5" customHeight="1"/>
    <row r="365" ht="38.25" customHeight="1"/>
    <row r="416" ht="30" customHeight="1"/>
  </sheetData>
  <sheetProtection algorithmName="SHA-512" hashValue="SmjcBQjvQqOr2P9SGgrmzntevmyDYdfFekHEzgu0fvXKDpx///K33bbMvjVzCndUEd6B50Cy+ugEHMD+Q+qamg==" saltValue="ukKS+4pG1HpBcWZ1TM8/Kw==" spinCount="100000" sheet="1" objects="1" scenarios="1"/>
  <mergeCells count="15">
    <mergeCell ref="B2:C2"/>
    <mergeCell ref="B5:C5"/>
    <mergeCell ref="B9:C9"/>
    <mergeCell ref="B3:C4"/>
    <mergeCell ref="B10:C11"/>
    <mergeCell ref="B12:C12"/>
    <mergeCell ref="B13:C13"/>
    <mergeCell ref="B15:C15"/>
    <mergeCell ref="B17:C17"/>
    <mergeCell ref="B14:C14"/>
    <mergeCell ref="A39:D39"/>
    <mergeCell ref="A35:D35"/>
    <mergeCell ref="A36:D36"/>
    <mergeCell ref="A37:D37"/>
    <mergeCell ref="A38:D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2030-DE2F-4AC9-A6BA-90446CCED72E}">
  <dimension ref="A1:M55"/>
  <sheetViews>
    <sheetView showGridLines="0" view="pageBreakPreview" zoomScaleNormal="100" zoomScaleSheetLayoutView="100" workbookViewId="0">
      <selection activeCell="S33" sqref="S33"/>
    </sheetView>
  </sheetViews>
  <sheetFormatPr defaultRowHeight="14.5"/>
  <cols>
    <col min="2" max="2" width="74.90625" customWidth="1"/>
    <col min="3" max="3" width="16.81640625" customWidth="1"/>
    <col min="5" max="10" width="19" style="69" customWidth="1"/>
  </cols>
  <sheetData>
    <row r="1" spans="1:13" ht="23.5" customHeight="1">
      <c r="A1" s="42" t="str">
        <f>'CAPA LICITAÇÃO'!B3</f>
        <v>Empresa licitante: PREENCHER SOMENTE AS CÉLULAS EM AMARELO.</v>
      </c>
      <c r="B1" s="18"/>
    </row>
    <row r="2" spans="1:13" ht="23.5" customHeight="1">
      <c r="A2" s="42" t="str">
        <f>'CAPA LICITAÇÃO'!B5</f>
        <v>CNPJ:</v>
      </c>
      <c r="B2" s="18"/>
    </row>
    <row r="3" spans="1:13" ht="23.5" customHeight="1">
      <c r="A3" s="42" t="str">
        <f>'CAPA LICITAÇÃO'!B10</f>
        <v>Objeto: Construção do Galpão do Cesma</v>
      </c>
      <c r="B3" s="18"/>
    </row>
    <row r="4" spans="1:13" ht="23.5" customHeight="1">
      <c r="A4" s="43" t="str">
        <f>'CAPA LICITAÇÃO'!B13</f>
        <v>Data-base SINAPI:  07/2025</v>
      </c>
      <c r="B4" s="18"/>
    </row>
    <row r="5" spans="1:13" ht="23.5" customHeight="1">
      <c r="A5" s="147" t="str">
        <f>'CAPA LICITAÇÃO'!B28</f>
        <v>Brasília-DF, xx de xxxxxxxxxxx de 202x.</v>
      </c>
      <c r="B5" s="18"/>
    </row>
    <row r="7" spans="1:13">
      <c r="A7" s="207" t="s">
        <v>438</v>
      </c>
      <c r="B7" s="208"/>
      <c r="C7" s="208"/>
      <c r="D7" s="208"/>
      <c r="E7" s="208"/>
      <c r="F7" s="208"/>
      <c r="G7" s="208"/>
      <c r="H7" s="208"/>
      <c r="I7" s="208"/>
      <c r="J7" s="209"/>
    </row>
    <row r="8" spans="1:13" ht="26.5">
      <c r="A8" s="148" t="s">
        <v>23</v>
      </c>
      <c r="B8" s="148" t="s">
        <v>26</v>
      </c>
      <c r="C8" s="148" t="s">
        <v>1230</v>
      </c>
      <c r="D8" s="148" t="s">
        <v>29</v>
      </c>
      <c r="E8" s="149" t="s">
        <v>1231</v>
      </c>
      <c r="F8" s="149" t="s">
        <v>1232</v>
      </c>
      <c r="G8" s="149" t="s">
        <v>1233</v>
      </c>
      <c r="H8" s="149" t="s">
        <v>1234</v>
      </c>
      <c r="I8" s="149" t="s">
        <v>1235</v>
      </c>
      <c r="J8" s="149" t="s">
        <v>1236</v>
      </c>
    </row>
    <row r="9" spans="1:13">
      <c r="A9" s="143"/>
      <c r="B9" s="144"/>
      <c r="C9" s="143"/>
      <c r="D9" s="143"/>
      <c r="E9" s="129"/>
      <c r="F9" s="129"/>
      <c r="G9" s="129"/>
      <c r="H9" s="129"/>
      <c r="I9" s="129"/>
      <c r="J9" s="129"/>
      <c r="L9" s="142">
        <f>SUM(E9:J9)</f>
        <v>0</v>
      </c>
      <c r="M9" t="str">
        <f>IF(C10=SUM(E11:J11),"OK","VERIFICAR")</f>
        <v>VERIFICAR</v>
      </c>
    </row>
    <row r="10" spans="1:13">
      <c r="A10" s="130" t="s">
        <v>5</v>
      </c>
      <c r="B10" s="131" t="s">
        <v>6</v>
      </c>
      <c r="C10" s="145">
        <f>VLOOKUP(A10,RESUMO!$A$9:$F$19,5,FALSE)</f>
        <v>110637.94</v>
      </c>
      <c r="D10" s="146">
        <f>C10/$C$42</f>
        <v>4.1786941226687031E-2</v>
      </c>
      <c r="E10" s="134" t="str">
        <f>IF(E9="","","pintar")</f>
        <v/>
      </c>
      <c r="F10" s="134" t="str">
        <f t="shared" ref="F10:J10" si="0">IF(F9="","","pintar")</f>
        <v/>
      </c>
      <c r="G10" s="134" t="str">
        <f t="shared" si="0"/>
        <v/>
      </c>
      <c r="H10" s="134" t="str">
        <f t="shared" si="0"/>
        <v/>
      </c>
      <c r="I10" s="134" t="str">
        <f t="shared" si="0"/>
        <v/>
      </c>
      <c r="J10" s="134" t="str">
        <f t="shared" si="0"/>
        <v/>
      </c>
    </row>
    <row r="11" spans="1:13">
      <c r="A11" s="135"/>
      <c r="B11" s="136"/>
      <c r="C11" s="132"/>
      <c r="D11" s="133"/>
      <c r="E11" s="139">
        <f t="shared" ref="E11:J11" si="1">E$9*$C10</f>
        <v>0</v>
      </c>
      <c r="F11" s="139">
        <f t="shared" si="1"/>
        <v>0</v>
      </c>
      <c r="G11" s="139">
        <f t="shared" si="1"/>
        <v>0</v>
      </c>
      <c r="H11" s="139">
        <f t="shared" si="1"/>
        <v>0</v>
      </c>
      <c r="I11" s="139">
        <f t="shared" si="1"/>
        <v>0</v>
      </c>
      <c r="J11" s="139">
        <f t="shared" si="1"/>
        <v>0</v>
      </c>
    </row>
    <row r="12" spans="1:13">
      <c r="A12" s="143"/>
      <c r="B12" s="144"/>
      <c r="C12" s="143"/>
      <c r="D12" s="143"/>
      <c r="E12" s="129"/>
      <c r="F12" s="129"/>
      <c r="G12" s="129"/>
      <c r="H12" s="129"/>
      <c r="I12" s="129"/>
      <c r="J12" s="129"/>
      <c r="L12" s="142">
        <f>SUM(E12:J12)</f>
        <v>0</v>
      </c>
      <c r="M12" t="str">
        <f>IF(C13=SUM(E14:J14),"OK","VERIFICAR")</f>
        <v>VERIFICAR</v>
      </c>
    </row>
    <row r="13" spans="1:13">
      <c r="A13" s="130" t="s">
        <v>7</v>
      </c>
      <c r="B13" s="131" t="s">
        <v>8</v>
      </c>
      <c r="C13" s="145">
        <f>VLOOKUP(A13,RESUMO!$A$9:$F$19,5,FALSE)</f>
        <v>689377.82</v>
      </c>
      <c r="D13" s="146">
        <f>C13/$C$42</f>
        <v>0.26037171739930831</v>
      </c>
      <c r="E13" s="134" t="str">
        <f t="shared" ref="E13:J13" si="2">IF(E12="","","pintar")</f>
        <v/>
      </c>
      <c r="F13" s="134" t="str">
        <f t="shared" si="2"/>
        <v/>
      </c>
      <c r="G13" s="134" t="str">
        <f t="shared" si="2"/>
        <v/>
      </c>
      <c r="H13" s="134" t="str">
        <f t="shared" si="2"/>
        <v/>
      </c>
      <c r="I13" s="134" t="str">
        <f t="shared" si="2"/>
        <v/>
      </c>
      <c r="J13" s="134" t="str">
        <f t="shared" si="2"/>
        <v/>
      </c>
    </row>
    <row r="14" spans="1:13">
      <c r="A14" s="135"/>
      <c r="B14" s="136"/>
      <c r="C14" s="132"/>
      <c r="D14" s="133"/>
      <c r="E14" s="139">
        <f t="shared" ref="E14:J14" si="3">E12*$C$13</f>
        <v>0</v>
      </c>
      <c r="F14" s="139">
        <f t="shared" si="3"/>
        <v>0</v>
      </c>
      <c r="G14" s="139">
        <f t="shared" si="3"/>
        <v>0</v>
      </c>
      <c r="H14" s="139">
        <f t="shared" si="3"/>
        <v>0</v>
      </c>
      <c r="I14" s="139">
        <f t="shared" si="3"/>
        <v>0</v>
      </c>
      <c r="J14" s="139">
        <f t="shared" si="3"/>
        <v>0</v>
      </c>
    </row>
    <row r="15" spans="1:13">
      <c r="A15" s="143"/>
      <c r="B15" s="144"/>
      <c r="C15" s="143"/>
      <c r="D15" s="143"/>
      <c r="E15" s="129"/>
      <c r="F15" s="129"/>
      <c r="G15" s="129"/>
      <c r="H15" s="129"/>
      <c r="I15" s="129"/>
      <c r="J15" s="129"/>
      <c r="L15" s="142">
        <f>SUM(E15:J15)</f>
        <v>0</v>
      </c>
      <c r="M15" t="str">
        <f>IF(C16=SUM(E17:J17),"OK","VERIFICAR")</f>
        <v>VERIFICAR</v>
      </c>
    </row>
    <row r="16" spans="1:13">
      <c r="A16" s="130" t="s">
        <v>9</v>
      </c>
      <c r="B16" s="131" t="s">
        <v>439</v>
      </c>
      <c r="C16" s="145">
        <f>VLOOKUP(A16,RESUMO!$A$9:$F$19,5,FALSE)</f>
        <v>97872.57</v>
      </c>
      <c r="D16" s="146">
        <f>C16/$C$42</f>
        <v>3.6965577362474508E-2</v>
      </c>
      <c r="E16" s="134" t="str">
        <f>IF(E15="","","pintar")</f>
        <v/>
      </c>
      <c r="F16" s="134" t="str">
        <f t="shared" ref="F16:J16" si="4">IF(F15="","","pintar")</f>
        <v/>
      </c>
      <c r="G16" s="134" t="str">
        <f t="shared" si="4"/>
        <v/>
      </c>
      <c r="H16" s="134" t="str">
        <f t="shared" si="4"/>
        <v/>
      </c>
      <c r="I16" s="134" t="str">
        <f t="shared" si="4"/>
        <v/>
      </c>
      <c r="J16" s="134" t="str">
        <f t="shared" si="4"/>
        <v/>
      </c>
    </row>
    <row r="17" spans="1:13">
      <c r="A17" s="135"/>
      <c r="B17" s="136"/>
      <c r="C17" s="132"/>
      <c r="D17" s="133"/>
      <c r="E17" s="139">
        <f t="shared" ref="E17:J17" si="5">E15*$C$16</f>
        <v>0</v>
      </c>
      <c r="F17" s="139">
        <f t="shared" si="5"/>
        <v>0</v>
      </c>
      <c r="G17" s="139">
        <f t="shared" si="5"/>
        <v>0</v>
      </c>
      <c r="H17" s="139">
        <f t="shared" si="5"/>
        <v>0</v>
      </c>
      <c r="I17" s="139">
        <f t="shared" si="5"/>
        <v>0</v>
      </c>
      <c r="J17" s="139">
        <f t="shared" si="5"/>
        <v>0</v>
      </c>
    </row>
    <row r="18" spans="1:13">
      <c r="A18" s="143"/>
      <c r="B18" s="144"/>
      <c r="C18" s="143"/>
      <c r="D18" s="143"/>
      <c r="E18" s="129"/>
      <c r="F18" s="129"/>
      <c r="G18" s="129"/>
      <c r="H18" s="129"/>
      <c r="I18" s="129"/>
      <c r="J18" s="129"/>
      <c r="L18" s="142">
        <f>SUM(E18:J18)</f>
        <v>0</v>
      </c>
      <c r="M18" t="str">
        <f>IF(C19=SUM(E20:J20),"OK","VERIFICAR")</f>
        <v>VERIFICAR</v>
      </c>
    </row>
    <row r="19" spans="1:13">
      <c r="A19" s="130" t="s">
        <v>10</v>
      </c>
      <c r="B19" s="131" t="s">
        <v>440</v>
      </c>
      <c r="C19" s="145">
        <f>VLOOKUP(A19,RESUMO!$A$9:$F$19,5,FALSE)</f>
        <v>661415.11</v>
      </c>
      <c r="D19" s="146">
        <f>C19/$C$42</f>
        <v>0.24981045677470801</v>
      </c>
      <c r="E19" s="134" t="str">
        <f>IF(E18="","","pintar")</f>
        <v/>
      </c>
      <c r="F19" s="134" t="str">
        <f t="shared" ref="F19:J19" si="6">IF(F18="","","pintar")</f>
        <v/>
      </c>
      <c r="G19" s="134" t="str">
        <f t="shared" si="6"/>
        <v/>
      </c>
      <c r="H19" s="134" t="str">
        <f t="shared" si="6"/>
        <v/>
      </c>
      <c r="I19" s="134" t="str">
        <f t="shared" si="6"/>
        <v/>
      </c>
      <c r="J19" s="134" t="str">
        <f t="shared" si="6"/>
        <v/>
      </c>
    </row>
    <row r="20" spans="1:13">
      <c r="A20" s="135"/>
      <c r="B20" s="136"/>
      <c r="C20" s="132"/>
      <c r="D20" s="133"/>
      <c r="E20" s="139">
        <f t="shared" ref="E20:J20" si="7">E18*$C$19</f>
        <v>0</v>
      </c>
      <c r="F20" s="139">
        <f t="shared" si="7"/>
        <v>0</v>
      </c>
      <c r="G20" s="139">
        <f t="shared" si="7"/>
        <v>0</v>
      </c>
      <c r="H20" s="139">
        <f t="shared" si="7"/>
        <v>0</v>
      </c>
      <c r="I20" s="139">
        <f t="shared" si="7"/>
        <v>0</v>
      </c>
      <c r="J20" s="139">
        <f t="shared" si="7"/>
        <v>0</v>
      </c>
    </row>
    <row r="21" spans="1:13">
      <c r="A21" s="143"/>
      <c r="B21" s="144"/>
      <c r="C21" s="143"/>
      <c r="D21" s="143"/>
      <c r="E21" s="129"/>
      <c r="F21" s="129"/>
      <c r="G21" s="129"/>
      <c r="H21" s="129"/>
      <c r="I21" s="129"/>
      <c r="J21" s="129"/>
      <c r="L21" s="142">
        <f>SUM(E21:J21)</f>
        <v>0</v>
      </c>
      <c r="M21" t="str">
        <f>IF(C22=SUM(E23:J23),"OK","VERIFICAR")</f>
        <v>VERIFICAR</v>
      </c>
    </row>
    <row r="22" spans="1:13">
      <c r="A22" s="130" t="s">
        <v>11</v>
      </c>
      <c r="B22" s="131" t="s">
        <v>12</v>
      </c>
      <c r="C22" s="145">
        <f>VLOOKUP(A22,RESUMO!$A$9:$F$19,5,FALSE)</f>
        <v>541211.56999999995</v>
      </c>
      <c r="D22" s="146">
        <f>C22/$C$42</f>
        <v>0.20441067563977613</v>
      </c>
      <c r="E22" s="134" t="str">
        <f>IF(E21="","","pintar")</f>
        <v/>
      </c>
      <c r="F22" s="134" t="str">
        <f t="shared" ref="F22:J22" si="8">IF(F21="","","pintar")</f>
        <v/>
      </c>
      <c r="G22" s="134" t="str">
        <f t="shared" si="8"/>
        <v/>
      </c>
      <c r="H22" s="134" t="str">
        <f t="shared" si="8"/>
        <v/>
      </c>
      <c r="I22" s="134" t="str">
        <f t="shared" si="8"/>
        <v/>
      </c>
      <c r="J22" s="134" t="str">
        <f t="shared" si="8"/>
        <v/>
      </c>
    </row>
    <row r="23" spans="1:13">
      <c r="A23" s="135"/>
      <c r="B23" s="136"/>
      <c r="C23" s="132"/>
      <c r="D23" s="133"/>
      <c r="E23" s="139">
        <f t="shared" ref="E23:J23" si="9">E21*$C$22</f>
        <v>0</v>
      </c>
      <c r="F23" s="139">
        <f t="shared" si="9"/>
        <v>0</v>
      </c>
      <c r="G23" s="139">
        <f t="shared" si="9"/>
        <v>0</v>
      </c>
      <c r="H23" s="139">
        <f t="shared" si="9"/>
        <v>0</v>
      </c>
      <c r="I23" s="139">
        <f t="shared" si="9"/>
        <v>0</v>
      </c>
      <c r="J23" s="139">
        <f t="shared" si="9"/>
        <v>0</v>
      </c>
    </row>
    <row r="24" spans="1:13">
      <c r="A24" s="143"/>
      <c r="B24" s="144"/>
      <c r="C24" s="143"/>
      <c r="D24" s="143"/>
      <c r="E24" s="129"/>
      <c r="F24" s="129"/>
      <c r="G24" s="129"/>
      <c r="H24" s="129"/>
      <c r="I24" s="129"/>
      <c r="J24" s="129"/>
      <c r="L24" s="142">
        <f>SUM(E24:J24)</f>
        <v>0</v>
      </c>
      <c r="M24" t="str">
        <f>IF(C25=SUM(E26:J26),"OK","VERIFICAR")</f>
        <v>VERIFICAR</v>
      </c>
    </row>
    <row r="25" spans="1:13">
      <c r="A25" s="130" t="s">
        <v>13</v>
      </c>
      <c r="B25" s="131" t="s">
        <v>432</v>
      </c>
      <c r="C25" s="145">
        <f>VLOOKUP(A25,RESUMO!$A$9:$F$19,5,FALSE)</f>
        <v>27294.47</v>
      </c>
      <c r="D25" s="146">
        <f>C25/$C$42</f>
        <v>1.0308872469096699E-2</v>
      </c>
      <c r="E25" s="134" t="str">
        <f>IF(E24="","","pintar")</f>
        <v/>
      </c>
      <c r="F25" s="134" t="str">
        <f t="shared" ref="F25:J25" si="10">IF(F24="","","pintar")</f>
        <v/>
      </c>
      <c r="G25" s="134" t="str">
        <f t="shared" si="10"/>
        <v/>
      </c>
      <c r="H25" s="134" t="str">
        <f t="shared" si="10"/>
        <v/>
      </c>
      <c r="I25" s="134" t="str">
        <f t="shared" si="10"/>
        <v/>
      </c>
      <c r="J25" s="134" t="str">
        <f t="shared" si="10"/>
        <v/>
      </c>
    </row>
    <row r="26" spans="1:13">
      <c r="A26" s="135"/>
      <c r="B26" s="136"/>
      <c r="C26" s="132"/>
      <c r="D26" s="133"/>
      <c r="E26" s="139">
        <f t="shared" ref="E26:J26" si="11">E24*$C$25</f>
        <v>0</v>
      </c>
      <c r="F26" s="139">
        <f t="shared" si="11"/>
        <v>0</v>
      </c>
      <c r="G26" s="139">
        <f t="shared" si="11"/>
        <v>0</v>
      </c>
      <c r="H26" s="139">
        <f t="shared" si="11"/>
        <v>0</v>
      </c>
      <c r="I26" s="139">
        <f t="shared" si="11"/>
        <v>0</v>
      </c>
      <c r="J26" s="139">
        <f t="shared" si="11"/>
        <v>0</v>
      </c>
    </row>
    <row r="27" spans="1:13">
      <c r="A27" s="143"/>
      <c r="B27" s="144"/>
      <c r="C27" s="143"/>
      <c r="D27" s="143"/>
      <c r="E27" s="129"/>
      <c r="F27" s="129"/>
      <c r="G27" s="129"/>
      <c r="H27" s="129"/>
      <c r="I27" s="129"/>
      <c r="J27" s="129"/>
      <c r="L27" s="142">
        <f>SUM(E27:J27)</f>
        <v>0</v>
      </c>
      <c r="M27" t="str">
        <f>IF(C28=SUM(E29:J29),"OK","VERIFICAR")</f>
        <v>VERIFICAR</v>
      </c>
    </row>
    <row r="28" spans="1:13">
      <c r="A28" s="130" t="s">
        <v>14</v>
      </c>
      <c r="B28" s="131" t="s">
        <v>15</v>
      </c>
      <c r="C28" s="145">
        <f>VLOOKUP(A28,RESUMO!$A$9:$F$19,5,FALSE)</f>
        <v>209305.46</v>
      </c>
      <c r="D28" s="146">
        <f>C28/$C$42</f>
        <v>7.9052763956421218E-2</v>
      </c>
      <c r="E28" s="134" t="str">
        <f>IF(E27="","","pintar")</f>
        <v/>
      </c>
      <c r="F28" s="134" t="str">
        <f t="shared" ref="F28:J28" si="12">IF(F27="","","pintar")</f>
        <v/>
      </c>
      <c r="G28" s="134" t="str">
        <f t="shared" si="12"/>
        <v/>
      </c>
      <c r="H28" s="134" t="str">
        <f t="shared" si="12"/>
        <v/>
      </c>
      <c r="I28" s="134" t="str">
        <f t="shared" si="12"/>
        <v/>
      </c>
      <c r="J28" s="134" t="str">
        <f t="shared" si="12"/>
        <v/>
      </c>
    </row>
    <row r="29" spans="1:13">
      <c r="A29" s="135"/>
      <c r="B29" s="136"/>
      <c r="C29" s="132"/>
      <c r="D29" s="133"/>
      <c r="E29" s="139">
        <f t="shared" ref="E29:J29" si="13">E27*$C$28</f>
        <v>0</v>
      </c>
      <c r="F29" s="139">
        <f t="shared" si="13"/>
        <v>0</v>
      </c>
      <c r="G29" s="139">
        <f t="shared" si="13"/>
        <v>0</v>
      </c>
      <c r="H29" s="139">
        <f t="shared" si="13"/>
        <v>0</v>
      </c>
      <c r="I29" s="139">
        <f t="shared" si="13"/>
        <v>0</v>
      </c>
      <c r="J29" s="139">
        <f t="shared" si="13"/>
        <v>0</v>
      </c>
    </row>
    <row r="30" spans="1:13">
      <c r="A30" s="143"/>
      <c r="B30" s="144"/>
      <c r="C30" s="143"/>
      <c r="D30" s="143"/>
      <c r="E30" s="129"/>
      <c r="F30" s="129"/>
      <c r="G30" s="129"/>
      <c r="H30" s="129"/>
      <c r="I30" s="129"/>
      <c r="J30" s="129"/>
      <c r="L30" s="142">
        <f>SUM(E30:J30)</f>
        <v>0</v>
      </c>
      <c r="M30" t="str">
        <f>IF(C31=SUM(E32:J32),"OK","VERIFICAR")</f>
        <v>VERIFICAR</v>
      </c>
    </row>
    <row r="31" spans="1:13">
      <c r="A31" s="130" t="s">
        <v>16</v>
      </c>
      <c r="B31" s="131" t="s">
        <v>441</v>
      </c>
      <c r="C31" s="145">
        <f>VLOOKUP(A31,RESUMO!$A$9:$F$19,5,FALSE)</f>
        <v>30760.25</v>
      </c>
      <c r="D31" s="146">
        <f>C31/$C$42</f>
        <v>1.16178659767906E-2</v>
      </c>
      <c r="E31" s="134" t="str">
        <f>IF(E30="","","pintar")</f>
        <v/>
      </c>
      <c r="F31" s="134" t="str">
        <f t="shared" ref="F31:J31" si="14">IF(F30="","","pintar")</f>
        <v/>
      </c>
      <c r="G31" s="134" t="str">
        <f t="shared" si="14"/>
        <v/>
      </c>
      <c r="H31" s="134" t="str">
        <f t="shared" si="14"/>
        <v/>
      </c>
      <c r="I31" s="134" t="str">
        <f t="shared" si="14"/>
        <v/>
      </c>
      <c r="J31" s="134" t="str">
        <f t="shared" si="14"/>
        <v/>
      </c>
    </row>
    <row r="32" spans="1:13">
      <c r="A32" s="135"/>
      <c r="B32" s="136"/>
      <c r="C32" s="132"/>
      <c r="D32" s="133"/>
      <c r="E32" s="139">
        <f t="shared" ref="E32:J32" si="15">E30*$C$31</f>
        <v>0</v>
      </c>
      <c r="F32" s="139">
        <f t="shared" si="15"/>
        <v>0</v>
      </c>
      <c r="G32" s="139">
        <f t="shared" si="15"/>
        <v>0</v>
      </c>
      <c r="H32" s="139">
        <f t="shared" si="15"/>
        <v>0</v>
      </c>
      <c r="I32" s="139">
        <f t="shared" si="15"/>
        <v>0</v>
      </c>
      <c r="J32" s="139">
        <f t="shared" si="15"/>
        <v>0</v>
      </c>
    </row>
    <row r="33" spans="1:13">
      <c r="A33" s="143"/>
      <c r="B33" s="144"/>
      <c r="C33" s="143"/>
      <c r="D33" s="143"/>
      <c r="E33" s="129"/>
      <c r="F33" s="129"/>
      <c r="G33" s="129"/>
      <c r="H33" s="129"/>
      <c r="I33" s="129"/>
      <c r="J33" s="129"/>
      <c r="L33" s="142">
        <f>SUM(E33:J33)</f>
        <v>0</v>
      </c>
      <c r="M33" t="str">
        <f>IF(C34=SUM(E35:J35),"OK","VERIFICAR")</f>
        <v>VERIFICAR</v>
      </c>
    </row>
    <row r="34" spans="1:13">
      <c r="A34" s="130" t="s">
        <v>17</v>
      </c>
      <c r="B34" s="131" t="s">
        <v>20</v>
      </c>
      <c r="C34" s="145">
        <f>VLOOKUP(A34,RESUMO!$A$9:$F$19,5,FALSE)</f>
        <v>6437.06</v>
      </c>
      <c r="D34" s="146">
        <f>C34/$C$42</f>
        <v>2.4312188738569974E-3</v>
      </c>
      <c r="E34" s="134" t="str">
        <f>IF(E33="","","pintar")</f>
        <v/>
      </c>
      <c r="F34" s="134" t="str">
        <f t="shared" ref="F34:J34" si="16">IF(F33="","","pintar")</f>
        <v/>
      </c>
      <c r="G34" s="134" t="str">
        <f t="shared" si="16"/>
        <v/>
      </c>
      <c r="H34" s="134" t="str">
        <f t="shared" si="16"/>
        <v/>
      </c>
      <c r="I34" s="134" t="str">
        <f t="shared" si="16"/>
        <v/>
      </c>
      <c r="J34" s="134" t="str">
        <f t="shared" si="16"/>
        <v/>
      </c>
    </row>
    <row r="35" spans="1:13">
      <c r="A35" s="135"/>
      <c r="B35" s="136"/>
      <c r="C35" s="132"/>
      <c r="D35" s="133"/>
      <c r="E35" s="139">
        <f t="shared" ref="E35:J35" si="17">E33*$C$34</f>
        <v>0</v>
      </c>
      <c r="F35" s="139">
        <f t="shared" si="17"/>
        <v>0</v>
      </c>
      <c r="G35" s="139">
        <f t="shared" si="17"/>
        <v>0</v>
      </c>
      <c r="H35" s="139">
        <f t="shared" si="17"/>
        <v>0</v>
      </c>
      <c r="I35" s="139">
        <f t="shared" si="17"/>
        <v>0</v>
      </c>
      <c r="J35" s="139">
        <f t="shared" si="17"/>
        <v>0</v>
      </c>
    </row>
    <row r="36" spans="1:13">
      <c r="A36" s="143"/>
      <c r="B36" s="144"/>
      <c r="C36" s="143"/>
      <c r="D36" s="143"/>
      <c r="E36" s="129"/>
      <c r="F36" s="129"/>
      <c r="G36" s="129"/>
      <c r="H36" s="129"/>
      <c r="I36" s="129"/>
      <c r="J36" s="129"/>
      <c r="L36" s="142">
        <f>SUM(E36:J36)</f>
        <v>0</v>
      </c>
      <c r="M36" t="str">
        <f>IF(C37=SUM(E38:J38),"OK","VERIFICAR")</f>
        <v>VERIFICAR</v>
      </c>
    </row>
    <row r="37" spans="1:13">
      <c r="A37" s="130" t="s">
        <v>18</v>
      </c>
      <c r="B37" s="131" t="s">
        <v>21</v>
      </c>
      <c r="C37" s="145">
        <f>VLOOKUP(A37,RESUMO!$A$9:$F$19,5,FALSE)</f>
        <v>223958.64</v>
      </c>
      <c r="D37" s="146">
        <f>C37/$C$42</f>
        <v>8.4587136446039768E-2</v>
      </c>
      <c r="E37" s="134" t="str">
        <f>IF(E36="","","pintar")</f>
        <v/>
      </c>
      <c r="F37" s="134" t="str">
        <f t="shared" ref="F37:J37" si="18">IF(F36="","","pintar")</f>
        <v/>
      </c>
      <c r="G37" s="134" t="str">
        <f t="shared" si="18"/>
        <v/>
      </c>
      <c r="H37" s="134" t="str">
        <f t="shared" si="18"/>
        <v/>
      </c>
      <c r="I37" s="134" t="str">
        <f t="shared" si="18"/>
        <v/>
      </c>
      <c r="J37" s="134" t="str">
        <f t="shared" si="18"/>
        <v/>
      </c>
    </row>
    <row r="38" spans="1:13">
      <c r="A38" s="135"/>
      <c r="B38" s="136"/>
      <c r="C38" s="132"/>
      <c r="D38" s="133"/>
      <c r="E38" s="139">
        <f t="shared" ref="E38:J38" si="19">E36*$C$37</f>
        <v>0</v>
      </c>
      <c r="F38" s="139">
        <f t="shared" si="19"/>
        <v>0</v>
      </c>
      <c r="G38" s="139">
        <f t="shared" si="19"/>
        <v>0</v>
      </c>
      <c r="H38" s="139">
        <f t="shared" si="19"/>
        <v>0</v>
      </c>
      <c r="I38" s="139">
        <f t="shared" si="19"/>
        <v>0</v>
      </c>
      <c r="J38" s="139">
        <f t="shared" si="19"/>
        <v>0</v>
      </c>
    </row>
    <row r="39" spans="1:13">
      <c r="A39" s="143"/>
      <c r="B39" s="144"/>
      <c r="C39" s="143"/>
      <c r="D39" s="143"/>
      <c r="E39" s="129"/>
      <c r="F39" s="129"/>
      <c r="G39" s="129"/>
      <c r="H39" s="129"/>
      <c r="I39" s="129"/>
      <c r="J39" s="129"/>
      <c r="L39" s="142">
        <f>SUM(E39:J39)</f>
        <v>0</v>
      </c>
      <c r="M39" t="str">
        <f>IF(C40=SUM(E41:J41),"OK","VERIFICAR")</f>
        <v>VERIFICAR</v>
      </c>
    </row>
    <row r="40" spans="1:13">
      <c r="A40" s="130" t="s">
        <v>19</v>
      </c>
      <c r="B40" s="131" t="s">
        <v>442</v>
      </c>
      <c r="C40" s="132">
        <f>VLOOKUP(A40,RESUMO!$A$9:$F$19,5,FALSE)</f>
        <v>49396.94</v>
      </c>
      <c r="D40" s="133">
        <f>C40/$C$42</f>
        <v>1.8656773874840635E-2</v>
      </c>
      <c r="E40" s="134" t="str">
        <f>IF(E39="","","pintar")</f>
        <v/>
      </c>
      <c r="F40" s="134" t="str">
        <f t="shared" ref="F40:J40" si="20">IF(F39="","","pintar")</f>
        <v/>
      </c>
      <c r="G40" s="134" t="str">
        <f t="shared" si="20"/>
        <v/>
      </c>
      <c r="H40" s="134" t="str">
        <f t="shared" si="20"/>
        <v/>
      </c>
      <c r="I40" s="134" t="str">
        <f t="shared" si="20"/>
        <v/>
      </c>
      <c r="J40" s="134" t="str">
        <f t="shared" si="20"/>
        <v/>
      </c>
    </row>
    <row r="41" spans="1:13">
      <c r="A41" s="135"/>
      <c r="B41" s="136"/>
      <c r="C41" s="137"/>
      <c r="D41" s="138"/>
      <c r="E41" s="139">
        <f t="shared" ref="E41:J41" si="21">E39*$C$40</f>
        <v>0</v>
      </c>
      <c r="F41" s="139">
        <f t="shared" si="21"/>
        <v>0</v>
      </c>
      <c r="G41" s="139">
        <f t="shared" si="21"/>
        <v>0</v>
      </c>
      <c r="H41" s="139">
        <f t="shared" si="21"/>
        <v>0</v>
      </c>
      <c r="I41" s="139">
        <f t="shared" si="21"/>
        <v>0</v>
      </c>
      <c r="J41" s="139">
        <f t="shared" si="21"/>
        <v>0</v>
      </c>
    </row>
    <row r="42" spans="1:13" ht="14.5" customHeight="1">
      <c r="A42" s="198" t="s">
        <v>1237</v>
      </c>
      <c r="B42" s="199"/>
      <c r="C42" s="202">
        <f>SUM(C10:C41)</f>
        <v>2647667.83</v>
      </c>
      <c r="D42" s="205">
        <f>SUM(D10:D41)</f>
        <v>1</v>
      </c>
      <c r="E42" s="140">
        <f t="shared" ref="E42:J42" si="22">+E11+E14+E17+E20+E23+E26+E29+E32+E35+E38+E41</f>
        <v>0</v>
      </c>
      <c r="F42" s="140">
        <f t="shared" si="22"/>
        <v>0</v>
      </c>
      <c r="G42" s="140">
        <f t="shared" si="22"/>
        <v>0</v>
      </c>
      <c r="H42" s="140">
        <f t="shared" si="22"/>
        <v>0</v>
      </c>
      <c r="I42" s="140">
        <f t="shared" si="22"/>
        <v>0</v>
      </c>
      <c r="J42" s="140">
        <f t="shared" si="22"/>
        <v>0</v>
      </c>
    </row>
    <row r="43" spans="1:13">
      <c r="A43" s="200"/>
      <c r="B43" s="201"/>
      <c r="C43" s="203"/>
      <c r="D43" s="205"/>
      <c r="E43" s="141">
        <f t="shared" ref="E43:J43" si="23">E42/$C$42</f>
        <v>0</v>
      </c>
      <c r="F43" s="141">
        <f t="shared" si="23"/>
        <v>0</v>
      </c>
      <c r="G43" s="141">
        <f t="shared" si="23"/>
        <v>0</v>
      </c>
      <c r="H43" s="141">
        <f t="shared" si="23"/>
        <v>0</v>
      </c>
      <c r="I43" s="141">
        <f t="shared" si="23"/>
        <v>0</v>
      </c>
      <c r="J43" s="141">
        <f t="shared" si="23"/>
        <v>0</v>
      </c>
      <c r="L43" s="142"/>
    </row>
    <row r="44" spans="1:13">
      <c r="A44" s="206" t="s">
        <v>1238</v>
      </c>
      <c r="B44" s="206"/>
      <c r="C44" s="203"/>
      <c r="D44" s="205"/>
      <c r="E44" s="140">
        <f>E42</f>
        <v>0</v>
      </c>
      <c r="F44" s="140">
        <f t="shared" ref="F44:J45" si="24">F42+E44</f>
        <v>0</v>
      </c>
      <c r="G44" s="140">
        <f t="shared" si="24"/>
        <v>0</v>
      </c>
      <c r="H44" s="140">
        <f t="shared" si="24"/>
        <v>0</v>
      </c>
      <c r="I44" s="140">
        <f t="shared" si="24"/>
        <v>0</v>
      </c>
      <c r="J44" s="140">
        <f t="shared" si="24"/>
        <v>0</v>
      </c>
    </row>
    <row r="45" spans="1:13">
      <c r="A45" s="206"/>
      <c r="B45" s="206"/>
      <c r="C45" s="204"/>
      <c r="D45" s="205"/>
      <c r="E45" s="141">
        <f>E43</f>
        <v>0</v>
      </c>
      <c r="F45" s="141">
        <f t="shared" si="24"/>
        <v>0</v>
      </c>
      <c r="G45" s="141">
        <f t="shared" si="24"/>
        <v>0</v>
      </c>
      <c r="H45" s="141">
        <f t="shared" si="24"/>
        <v>0</v>
      </c>
      <c r="I45" s="141">
        <f t="shared" si="24"/>
        <v>0</v>
      </c>
      <c r="J45" s="141">
        <f t="shared" si="24"/>
        <v>0</v>
      </c>
      <c r="L45" s="142"/>
    </row>
    <row r="49" spans="1:10">
      <c r="A49" s="71" t="s">
        <v>1227</v>
      </c>
      <c r="B49" s="71"/>
      <c r="C49" s="71"/>
      <c r="D49" s="71"/>
      <c r="E49" s="71"/>
      <c r="F49" s="71"/>
      <c r="G49" s="71"/>
      <c r="H49" s="71"/>
      <c r="I49" s="71"/>
      <c r="J49" s="71"/>
    </row>
    <row r="50" spans="1:10" ht="15.5">
      <c r="A50" s="70" t="str">
        <f>'CAPA LICITAÇÃO'!A36</f>
        <v>RESPONSÁVEL TÉCNICO PELA ELABORAÇÃO DA PLANILHA (NOME COMPLETO)</v>
      </c>
      <c r="B50" s="71"/>
      <c r="C50" s="71"/>
      <c r="D50" s="71"/>
      <c r="E50" s="71"/>
      <c r="F50" s="71"/>
      <c r="G50" s="71"/>
      <c r="H50" s="71"/>
      <c r="I50" s="71"/>
      <c r="J50" s="71"/>
    </row>
    <row r="51" spans="1:10" ht="15.5">
      <c r="A51" s="70" t="str">
        <f>'CAPA LICITAÇÃO'!A37</f>
        <v>Responsável Técnico pela Elaboração da planilha e preços</v>
      </c>
      <c r="B51" s="71"/>
      <c r="C51" s="71"/>
      <c r="D51" s="71"/>
      <c r="E51" s="71"/>
      <c r="F51" s="71"/>
      <c r="G51" s="71"/>
      <c r="H51" s="71"/>
      <c r="I51" s="71"/>
      <c r="J51" s="71"/>
    </row>
    <row r="52" spans="1:10" ht="15.5">
      <c r="A52" s="70" t="str">
        <f>'CAPA LICITAÇÃO'!A38</f>
        <v>FORMAÇÃO E Nº DO REGISTRO EM CONSELHO</v>
      </c>
      <c r="B52" s="71"/>
      <c r="C52" s="71"/>
      <c r="D52" s="71"/>
      <c r="E52" s="71"/>
      <c r="F52" s="71"/>
      <c r="G52" s="71"/>
      <c r="H52" s="71"/>
      <c r="I52" s="71"/>
      <c r="J52" s="71"/>
    </row>
    <row r="53" spans="1:10" ht="15.5">
      <c r="A53" s="70" t="str">
        <f>'CAPA LICITAÇÃO'!A39</f>
        <v>NOME DA EMPRESA</v>
      </c>
      <c r="B53" s="71"/>
      <c r="C53" s="71"/>
      <c r="D53" s="71"/>
      <c r="E53" s="71"/>
      <c r="F53" s="71"/>
      <c r="G53" s="71"/>
      <c r="H53" s="71"/>
      <c r="I53" s="71"/>
      <c r="J53" s="71"/>
    </row>
    <row r="54" spans="1:10" ht="15.5">
      <c r="A54" s="70"/>
    </row>
    <row r="55" spans="1:10" ht="15.5">
      <c r="A55" s="70"/>
    </row>
  </sheetData>
  <sheetProtection algorithmName="SHA-512" hashValue="owa0dS+Cft/I/BM4weoQzJf5ID/wjUXf5bpspUslDFvSz+d3N8Y6CU4k+sN17Qqk0isoye6GNJ2ksVqsFGSf6w==" saltValue="rS4Or4fOcaBAAWCyWnNBFQ==" spinCount="100000" sheet="1" objects="1" scenarios="1"/>
  <mergeCells count="5">
    <mergeCell ref="A42:B43"/>
    <mergeCell ref="C42:C45"/>
    <mergeCell ref="D42:D45"/>
    <mergeCell ref="A44:B45"/>
    <mergeCell ref="A7:J7"/>
  </mergeCells>
  <conditionalFormatting sqref="E10:J10">
    <cfRule type="cellIs" dxfId="10" priority="12" operator="equal">
      <formula>"pintar"</formula>
    </cfRule>
  </conditionalFormatting>
  <conditionalFormatting sqref="E13:J13">
    <cfRule type="cellIs" dxfId="9" priority="11" operator="equal">
      <formula>"pintar"</formula>
    </cfRule>
  </conditionalFormatting>
  <conditionalFormatting sqref="E16:J16">
    <cfRule type="cellIs" dxfId="8" priority="10" operator="equal">
      <formula>"pintar"</formula>
    </cfRule>
  </conditionalFormatting>
  <conditionalFormatting sqref="E19:J19">
    <cfRule type="cellIs" dxfId="7" priority="9" operator="equal">
      <formula>"pintar"</formula>
    </cfRule>
  </conditionalFormatting>
  <conditionalFormatting sqref="E22:J22">
    <cfRule type="cellIs" dxfId="6" priority="8" operator="equal">
      <formula>"pintar"</formula>
    </cfRule>
  </conditionalFormatting>
  <conditionalFormatting sqref="E25:J25">
    <cfRule type="cellIs" dxfId="5" priority="7" operator="equal">
      <formula>"pintar"</formula>
    </cfRule>
  </conditionalFormatting>
  <conditionalFormatting sqref="E28:J28">
    <cfRule type="cellIs" dxfId="4" priority="6" operator="equal">
      <formula>"pintar"</formula>
    </cfRule>
  </conditionalFormatting>
  <conditionalFormatting sqref="E31:J31">
    <cfRule type="cellIs" dxfId="3" priority="5" operator="equal">
      <formula>"pintar"</formula>
    </cfRule>
  </conditionalFormatting>
  <conditionalFormatting sqref="E34:J34">
    <cfRule type="cellIs" dxfId="2" priority="4" operator="equal">
      <formula>"pintar"</formula>
    </cfRule>
  </conditionalFormatting>
  <conditionalFormatting sqref="E37:J37">
    <cfRule type="cellIs" dxfId="1" priority="3" operator="equal">
      <formula>"pintar"</formula>
    </cfRule>
  </conditionalFormatting>
  <conditionalFormatting sqref="E40:J40">
    <cfRule type="cellIs" dxfId="0" priority="2" operator="equal">
      <formula>"pintar"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3438-5151-4FD2-8EC1-12D250D746B9}">
  <dimension ref="A1:H408"/>
  <sheetViews>
    <sheetView showGridLines="0" view="pageBreakPreview" zoomScaleNormal="100" zoomScaleSheetLayoutView="100" workbookViewId="0">
      <selection activeCell="K12" sqref="K12"/>
    </sheetView>
  </sheetViews>
  <sheetFormatPr defaultColWidth="9.1796875" defaultRowHeight="14"/>
  <cols>
    <col min="1" max="1" width="18.1796875" style="7" customWidth="1"/>
    <col min="2" max="2" width="18.1796875" style="8" customWidth="1"/>
    <col min="3" max="3" width="18.1796875" style="9" customWidth="1"/>
    <col min="4" max="4" width="18.1796875" style="10" customWidth="1"/>
    <col min="5" max="6" width="18.1796875" style="8" customWidth="1"/>
    <col min="7" max="7" width="11.81640625" style="8" customWidth="1"/>
    <col min="8" max="8" width="22.36328125" style="8" bestFit="1" customWidth="1"/>
    <col min="9" max="9" width="16.6328125" style="18" customWidth="1"/>
    <col min="10" max="11" width="9.1796875" style="18"/>
    <col min="12" max="12" width="37.54296875" style="18" customWidth="1"/>
    <col min="13" max="13" width="9.1796875" style="18"/>
    <col min="14" max="14" width="13.26953125" style="18" customWidth="1"/>
    <col min="15" max="15" width="9.1796875" style="18"/>
    <col min="16" max="16" width="21.36328125" style="18" customWidth="1"/>
    <col min="17" max="18" width="9.1796875" style="18"/>
    <col min="19" max="19" width="13.7265625" style="18" customWidth="1"/>
    <col min="20" max="16384" width="9.1796875" style="18"/>
  </cols>
  <sheetData>
    <row r="1" spans="1:8" ht="33" customHeight="1">
      <c r="A1" s="42" t="str">
        <f>'CAPA LICITAÇÃO'!B3</f>
        <v>Empresa licitante: PREENCHER SOMENTE AS CÉLULAS EM AMARELO.</v>
      </c>
    </row>
    <row r="2" spans="1:8" ht="33" customHeight="1">
      <c r="A2" s="42" t="str">
        <f>'CAPA LICITAÇÃO'!B5</f>
        <v>CNPJ:</v>
      </c>
      <c r="B2" s="45"/>
      <c r="C2" s="45"/>
      <c r="D2" s="45"/>
      <c r="E2" s="45"/>
    </row>
    <row r="3" spans="1:8" ht="33" customHeight="1">
      <c r="A3" s="44" t="str">
        <f>'CAPA LICITAÇÃO'!B10</f>
        <v>Objeto: Construção do Galpão do Cesma</v>
      </c>
      <c r="B3" s="45"/>
      <c r="C3" s="45"/>
      <c r="D3" s="45"/>
      <c r="E3" s="45"/>
    </row>
    <row r="4" spans="1:8" ht="33" customHeight="1">
      <c r="A4" s="43" t="str">
        <f>'CAPA LICITAÇÃO'!B13</f>
        <v>Data-base SINAPI:  07/2025</v>
      </c>
      <c r="B4" s="3"/>
      <c r="C4" s="3"/>
      <c r="D4" s="3"/>
      <c r="E4" s="3"/>
      <c r="F4" s="3"/>
      <c r="G4" s="3"/>
      <c r="H4" s="3"/>
    </row>
    <row r="5" spans="1:8" s="19" customFormat="1">
      <c r="A5" s="12"/>
      <c r="B5" s="8"/>
      <c r="C5" s="8"/>
      <c r="D5" s="10"/>
      <c r="E5" s="8"/>
      <c r="F5" s="8"/>
      <c r="G5" s="8"/>
      <c r="H5" s="8"/>
    </row>
    <row r="6" spans="1:8" s="19" customFormat="1" ht="27" customHeight="1">
      <c r="A6" s="51"/>
      <c r="B6" s="52" t="s">
        <v>1216</v>
      </c>
      <c r="C6" s="52"/>
      <c r="D6" s="52"/>
      <c r="E6" s="52"/>
      <c r="F6" s="53"/>
      <c r="G6" s="11"/>
      <c r="H6" s="11"/>
    </row>
    <row r="7" spans="1:8" ht="27" customHeight="1">
      <c r="G7" s="14"/>
      <c r="H7" s="14"/>
    </row>
    <row r="8" spans="1:8" ht="27" customHeight="1">
      <c r="A8" s="46" t="s">
        <v>3</v>
      </c>
      <c r="B8" s="170" t="s">
        <v>4</v>
      </c>
      <c r="C8" s="170"/>
      <c r="D8" s="170"/>
      <c r="E8" s="170" t="s">
        <v>1228</v>
      </c>
      <c r="F8" s="170"/>
      <c r="G8" s="11"/>
      <c r="H8" s="11"/>
    </row>
    <row r="9" spans="1:8" ht="30" customHeight="1">
      <c r="A9" s="47" t="s">
        <v>5</v>
      </c>
      <c r="B9" s="167" t="s">
        <v>6</v>
      </c>
      <c r="C9" s="167"/>
      <c r="D9" s="167"/>
      <c r="E9" s="169">
        <f>VLOOKUP(A9,'PLANILHA PROPOSTA'!$A$9:$L$424,12,FALSE)</f>
        <v>110637.94</v>
      </c>
      <c r="F9" s="169"/>
      <c r="G9" s="11"/>
      <c r="H9" s="11"/>
    </row>
    <row r="10" spans="1:8" ht="30" customHeight="1">
      <c r="A10" s="47" t="s">
        <v>7</v>
      </c>
      <c r="B10" s="167" t="s">
        <v>8</v>
      </c>
      <c r="C10" s="167"/>
      <c r="D10" s="167"/>
      <c r="E10" s="169">
        <f>VLOOKUP(A10,'PLANILHA PROPOSTA'!$A$9:$L$424,12,FALSE)</f>
        <v>689377.82</v>
      </c>
      <c r="F10" s="169"/>
      <c r="G10" s="11"/>
      <c r="H10" s="11"/>
    </row>
    <row r="11" spans="1:8" ht="30" customHeight="1">
      <c r="A11" s="47" t="s">
        <v>9</v>
      </c>
      <c r="B11" s="167" t="s">
        <v>439</v>
      </c>
      <c r="C11" s="167"/>
      <c r="D11" s="167"/>
      <c r="E11" s="169">
        <f>VLOOKUP(A11,'PLANILHA PROPOSTA'!$A$9:$L$424,12,FALSE)</f>
        <v>97872.57</v>
      </c>
      <c r="F11" s="169"/>
      <c r="G11" s="11"/>
      <c r="H11" s="11"/>
    </row>
    <row r="12" spans="1:8" ht="30" customHeight="1">
      <c r="A12" s="47" t="s">
        <v>10</v>
      </c>
      <c r="B12" s="167" t="s">
        <v>440</v>
      </c>
      <c r="C12" s="167"/>
      <c r="D12" s="167"/>
      <c r="E12" s="169">
        <f>VLOOKUP(A12,'PLANILHA PROPOSTA'!$A$9:$L$424,12,FALSE)</f>
        <v>661415.11</v>
      </c>
      <c r="F12" s="169"/>
      <c r="G12" s="11"/>
      <c r="H12" s="11"/>
    </row>
    <row r="13" spans="1:8" ht="30" customHeight="1">
      <c r="A13" s="47" t="s">
        <v>11</v>
      </c>
      <c r="B13" s="167" t="s">
        <v>12</v>
      </c>
      <c r="C13" s="167"/>
      <c r="D13" s="167"/>
      <c r="E13" s="169">
        <f>VLOOKUP(A13,'PLANILHA PROPOSTA'!$A$9:$L$424,12,FALSE)</f>
        <v>541211.56999999995</v>
      </c>
      <c r="F13" s="169"/>
    </row>
    <row r="14" spans="1:8" ht="30" customHeight="1">
      <c r="A14" s="47" t="s">
        <v>13</v>
      </c>
      <c r="B14" s="167" t="s">
        <v>432</v>
      </c>
      <c r="C14" s="167"/>
      <c r="D14" s="167"/>
      <c r="E14" s="169">
        <f>VLOOKUP(A14,'PLANILHA PROPOSTA'!$A$9:$L$424,12,FALSE)</f>
        <v>27294.47</v>
      </c>
      <c r="F14" s="169"/>
    </row>
    <row r="15" spans="1:8" ht="30" customHeight="1">
      <c r="A15" s="47" t="s">
        <v>14</v>
      </c>
      <c r="B15" s="167" t="s">
        <v>15</v>
      </c>
      <c r="C15" s="167"/>
      <c r="D15" s="167"/>
      <c r="E15" s="169">
        <f>VLOOKUP(A15,'PLANILHA PROPOSTA'!$A$9:$L$424,12,FALSE)</f>
        <v>209305.46</v>
      </c>
      <c r="F15" s="169"/>
    </row>
    <row r="16" spans="1:8" ht="30" customHeight="1">
      <c r="A16" s="47" t="s">
        <v>16</v>
      </c>
      <c r="B16" s="167" t="s">
        <v>441</v>
      </c>
      <c r="C16" s="167"/>
      <c r="D16" s="167"/>
      <c r="E16" s="169">
        <f>VLOOKUP(A16,'PLANILHA PROPOSTA'!$A$9:$L$424,12,FALSE)</f>
        <v>30760.25</v>
      </c>
      <c r="F16" s="169"/>
    </row>
    <row r="17" spans="1:6" ht="30" customHeight="1">
      <c r="A17" s="47" t="s">
        <v>17</v>
      </c>
      <c r="B17" s="167" t="s">
        <v>20</v>
      </c>
      <c r="C17" s="167"/>
      <c r="D17" s="167"/>
      <c r="E17" s="169">
        <f>VLOOKUP(A17,'PLANILHA PROPOSTA'!$A$9:$L$424,12,FALSE)</f>
        <v>6437.06</v>
      </c>
      <c r="F17" s="169"/>
    </row>
    <row r="18" spans="1:6" ht="30" customHeight="1">
      <c r="A18" s="47" t="s">
        <v>18</v>
      </c>
      <c r="B18" s="167" t="s">
        <v>21</v>
      </c>
      <c r="C18" s="167"/>
      <c r="D18" s="167"/>
      <c r="E18" s="169">
        <f>VLOOKUP(A18,'PLANILHA PROPOSTA'!$A$9:$L$424,12,FALSE)</f>
        <v>223958.64</v>
      </c>
      <c r="F18" s="169"/>
    </row>
    <row r="19" spans="1:6" ht="30" customHeight="1">
      <c r="A19" s="47" t="s">
        <v>19</v>
      </c>
      <c r="B19" s="167" t="s">
        <v>442</v>
      </c>
      <c r="C19" s="167"/>
      <c r="D19" s="167"/>
      <c r="E19" s="169">
        <f>VLOOKUP(A19,'PLANILHA PROPOSTA'!$A$9:$L$424,12,FALSE)</f>
        <v>49396.94</v>
      </c>
      <c r="F19" s="169"/>
    </row>
    <row r="20" spans="1:6" ht="23.25" customHeight="1">
      <c r="A20" s="49"/>
      <c r="B20" s="36"/>
      <c r="C20" s="36"/>
      <c r="D20" s="36"/>
      <c r="E20" s="37"/>
      <c r="F20" s="50"/>
    </row>
    <row r="21" spans="1:6" ht="23.25" customHeight="1">
      <c r="A21" s="48" t="s">
        <v>1229</v>
      </c>
      <c r="B21" s="48"/>
      <c r="C21" s="48"/>
      <c r="D21" s="48"/>
      <c r="E21" s="172">
        <f>SUM(E9:E20)</f>
        <v>2647667.83</v>
      </c>
      <c r="F21" s="172"/>
    </row>
    <row r="22" spans="1:6" ht="23.25" customHeight="1">
      <c r="A22" s="20"/>
      <c r="B22" s="20"/>
      <c r="C22" s="20"/>
      <c r="D22" s="20"/>
      <c r="E22" s="20"/>
      <c r="F22" s="20"/>
    </row>
    <row r="23" spans="1:6" ht="23.25" customHeight="1">
      <c r="A23" s="29"/>
      <c r="B23" s="173"/>
      <c r="C23" s="173"/>
      <c r="D23" s="173"/>
      <c r="E23" s="30"/>
      <c r="F23" s="30"/>
    </row>
    <row r="24" spans="1:6" ht="23.25" customHeight="1">
      <c r="A24" s="171" t="str">
        <f>'CAPA LICITAÇÃO'!B28</f>
        <v>Brasília-DF, xx de xxxxxxxxxxx de 202x.</v>
      </c>
      <c r="B24" s="171"/>
      <c r="C24" s="171"/>
      <c r="D24" s="171"/>
      <c r="E24" s="171"/>
      <c r="F24" s="171"/>
    </row>
    <row r="25" spans="1:6" ht="26.25" customHeight="1">
      <c r="A25" s="34"/>
      <c r="B25" s="34"/>
      <c r="C25" s="34"/>
      <c r="D25" s="34"/>
      <c r="E25" s="30"/>
      <c r="F25" s="35"/>
    </row>
    <row r="26" spans="1:6" ht="26.25" customHeight="1">
      <c r="A26" s="171" t="str">
        <f>'CAPA LICITAÇÃO'!A35</f>
        <v>____________________________________</v>
      </c>
      <c r="B26" s="171"/>
      <c r="C26" s="171"/>
      <c r="D26" s="171"/>
      <c r="E26" s="171"/>
      <c r="F26" s="171"/>
    </row>
    <row r="27" spans="1:6" ht="26.25" customHeight="1">
      <c r="A27" s="171" t="str">
        <f>'CAPA LICITAÇÃO'!A36</f>
        <v>RESPONSÁVEL TÉCNICO PELA ELABORAÇÃO DA PLANILHA (NOME COMPLETO)</v>
      </c>
      <c r="B27" s="171"/>
      <c r="C27" s="171"/>
      <c r="D27" s="171"/>
      <c r="E27" s="171"/>
      <c r="F27" s="171"/>
    </row>
    <row r="28" spans="1:6" ht="23.25" customHeight="1">
      <c r="A28" s="171" t="str">
        <f>'CAPA LICITAÇÃO'!A37</f>
        <v>Responsável Técnico pela Elaboração da planilha e preços</v>
      </c>
      <c r="B28" s="171"/>
      <c r="C28" s="171"/>
      <c r="D28" s="171"/>
      <c r="E28" s="171"/>
      <c r="F28" s="171"/>
    </row>
    <row r="29" spans="1:6" ht="23.25" customHeight="1">
      <c r="A29" s="171" t="str">
        <f>'CAPA LICITAÇÃO'!A38</f>
        <v>FORMAÇÃO E Nº DO REGISTRO EM CONSELHO</v>
      </c>
      <c r="B29" s="171"/>
      <c r="C29" s="171"/>
      <c r="D29" s="171"/>
      <c r="E29" s="171"/>
      <c r="F29" s="171"/>
    </row>
    <row r="30" spans="1:6" ht="23.25" customHeight="1">
      <c r="A30" s="171" t="str">
        <f>'CAPA LICITAÇÃO'!A39</f>
        <v>NOME DA EMPRESA</v>
      </c>
      <c r="B30" s="171"/>
      <c r="C30" s="171"/>
      <c r="D30" s="171"/>
      <c r="E30" s="171"/>
      <c r="F30" s="171"/>
    </row>
    <row r="31" spans="1:6" ht="16" customHeight="1">
      <c r="A31" s="168"/>
      <c r="B31" s="168"/>
      <c r="C31" s="168"/>
      <c r="D31" s="168"/>
      <c r="E31" s="168"/>
      <c r="F31" s="168"/>
    </row>
    <row r="190" ht="15.75" customHeight="1"/>
    <row r="196" ht="48" customHeight="1"/>
    <row r="306" ht="37.5" customHeight="1"/>
    <row r="357" ht="38.25" customHeight="1"/>
    <row r="408" ht="30" customHeight="1"/>
  </sheetData>
  <sheetProtection algorithmName="SHA-512" hashValue="IFoYoyQIvZJPZPRo5dqxYwPmyl83OX9mkwX+0Sxja4IcUwTTWYvwXsj8gediSz5fpGBlhZDu4+mUMF1tT2Lglw==" saltValue="C/R2moni6f8WN6wo1JzuFg==" spinCount="100000" sheet="1" objects="1" scenarios="1"/>
  <mergeCells count="33">
    <mergeCell ref="B8:D8"/>
    <mergeCell ref="B9:D9"/>
    <mergeCell ref="A30:F30"/>
    <mergeCell ref="E15:F15"/>
    <mergeCell ref="E16:F16"/>
    <mergeCell ref="E17:F17"/>
    <mergeCell ref="E18:F18"/>
    <mergeCell ref="E19:F19"/>
    <mergeCell ref="E21:F21"/>
    <mergeCell ref="B23:D23"/>
    <mergeCell ref="A24:F24"/>
    <mergeCell ref="A26:F26"/>
    <mergeCell ref="A27:F27"/>
    <mergeCell ref="A28:F28"/>
    <mergeCell ref="A29:F29"/>
    <mergeCell ref="E8:F8"/>
    <mergeCell ref="E9:F9"/>
    <mergeCell ref="E10:F10"/>
    <mergeCell ref="E11:F11"/>
    <mergeCell ref="E12:F12"/>
    <mergeCell ref="B10:D10"/>
    <mergeCell ref="B11:D11"/>
    <mergeCell ref="B12:D12"/>
    <mergeCell ref="B13:D13"/>
    <mergeCell ref="A31:F31"/>
    <mergeCell ref="E13:F13"/>
    <mergeCell ref="E14:F14"/>
    <mergeCell ref="B14:D14"/>
    <mergeCell ref="B15:D15"/>
    <mergeCell ref="B16:D16"/>
    <mergeCell ref="B17:D17"/>
    <mergeCell ref="B18:D18"/>
    <mergeCell ref="B19:D1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orientation="portrait" r:id="rId1"/>
  <rowBreaks count="1" manualBreakCount="1">
    <brk id="30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EB21-831C-4A3C-A3AB-BDA21D0AC0EC}">
  <dimension ref="A1:H417"/>
  <sheetViews>
    <sheetView view="pageBreakPreview" zoomScaleNormal="100" zoomScaleSheetLayoutView="100" workbookViewId="0">
      <selection activeCell="O26" sqref="O26"/>
    </sheetView>
  </sheetViews>
  <sheetFormatPr defaultRowHeight="14.5"/>
  <cols>
    <col min="1" max="1" width="4.81640625" style="7" customWidth="1"/>
    <col min="2" max="2" width="49.26953125" style="8" customWidth="1"/>
    <col min="3" max="3" width="50.54296875" style="9" customWidth="1"/>
    <col min="4" max="4" width="4.81640625" style="10" customWidth="1"/>
    <col min="5" max="5" width="12.54296875" style="1" customWidth="1"/>
    <col min="6" max="6" width="16.90625" style="1" bestFit="1" customWidth="1"/>
    <col min="7" max="7" width="11.81640625" style="1" customWidth="1"/>
    <col min="8" max="8" width="22.36328125" style="1" bestFit="1" customWidth="1"/>
    <col min="9" max="9" width="16.6328125" customWidth="1"/>
    <col min="12" max="12" width="37.54296875" customWidth="1"/>
    <col min="14" max="14" width="13.26953125" customWidth="1"/>
    <col min="16" max="16" width="21.36328125" customWidth="1"/>
    <col min="19" max="19" width="13.7265625" customWidth="1"/>
  </cols>
  <sheetData>
    <row r="1" spans="1:8" ht="36.75" customHeight="1"/>
    <row r="2" spans="1:8" ht="18.75" customHeight="1">
      <c r="B2" s="174"/>
      <c r="C2" s="174"/>
    </row>
    <row r="3" spans="1:8" ht="15.75" customHeight="1">
      <c r="B3" s="174"/>
      <c r="C3" s="174"/>
    </row>
    <row r="4" spans="1:8" ht="15.5">
      <c r="B4" s="174"/>
      <c r="C4" s="174"/>
    </row>
    <row r="5" spans="1:8" ht="15" customHeight="1">
      <c r="B5" s="174"/>
      <c r="C5" s="174"/>
      <c r="D5" s="11"/>
      <c r="E5" s="2"/>
      <c r="F5" s="2"/>
      <c r="G5" s="2"/>
      <c r="H5" s="2"/>
    </row>
    <row r="6" spans="1:8" ht="15" customHeight="1">
      <c r="D6" s="11"/>
      <c r="E6" s="2"/>
      <c r="F6" s="2"/>
      <c r="G6" s="2"/>
      <c r="H6" s="2"/>
    </row>
    <row r="7" spans="1:8" ht="15.5">
      <c r="B7" s="3"/>
      <c r="C7" s="3"/>
      <c r="D7" s="3"/>
      <c r="E7" s="3"/>
      <c r="F7" s="3"/>
      <c r="G7" s="3"/>
      <c r="H7" s="3"/>
    </row>
    <row r="8" spans="1:8" s="4" customFormat="1">
      <c r="A8" s="12"/>
      <c r="B8" s="8"/>
      <c r="C8" s="8"/>
      <c r="D8" s="10"/>
      <c r="E8" s="1"/>
      <c r="F8" s="1"/>
      <c r="G8" s="1"/>
      <c r="H8" s="1"/>
    </row>
    <row r="9" spans="1:8" s="4" customFormat="1" ht="15.5">
      <c r="A9" s="12"/>
      <c r="D9" s="10"/>
      <c r="E9" s="1"/>
      <c r="F9" s="3"/>
      <c r="G9" s="1"/>
      <c r="H9" s="1"/>
    </row>
    <row r="10" spans="1:8" s="4" customFormat="1" ht="32.5">
      <c r="A10" s="12"/>
      <c r="B10" s="13"/>
      <c r="C10" s="13"/>
      <c r="D10" s="10"/>
      <c r="E10" s="1"/>
      <c r="F10" s="1"/>
      <c r="G10" s="1"/>
      <c r="H10" s="1"/>
    </row>
    <row r="11" spans="1:8" s="4" customFormat="1" ht="33" customHeight="1">
      <c r="A11" s="12"/>
      <c r="B11" s="17"/>
      <c r="C11" s="16"/>
      <c r="D11" s="14"/>
      <c r="E11" s="5"/>
      <c r="F11" s="3"/>
      <c r="G11" s="5"/>
      <c r="H11" s="5"/>
    </row>
    <row r="12" spans="1:8" s="4" customFormat="1" ht="24" customHeight="1">
      <c r="A12" s="12"/>
      <c r="B12" s="17"/>
      <c r="C12" s="16"/>
      <c r="D12" s="14"/>
      <c r="E12" s="5"/>
      <c r="F12" s="5"/>
      <c r="G12" s="5"/>
      <c r="H12" s="5"/>
    </row>
    <row r="13" spans="1:8" s="4" customFormat="1" ht="24" customHeight="1">
      <c r="A13" s="12"/>
      <c r="B13" s="17"/>
      <c r="C13" s="16"/>
      <c r="D13" s="14"/>
      <c r="E13" s="5"/>
      <c r="F13" s="3"/>
      <c r="G13" s="5"/>
      <c r="H13" s="5"/>
    </row>
    <row r="14" spans="1:8" s="4" customFormat="1" ht="47.25" customHeight="1">
      <c r="A14" s="12"/>
      <c r="B14" s="17"/>
      <c r="C14" s="16"/>
      <c r="D14" s="11"/>
      <c r="E14" s="2"/>
      <c r="F14" s="2"/>
      <c r="G14" s="2"/>
      <c r="H14" s="2"/>
    </row>
    <row r="15" spans="1:8" ht="20.149999999999999" customHeight="1">
      <c r="B15" s="17"/>
      <c r="C15" s="16"/>
      <c r="D15" s="11"/>
      <c r="E15" s="2"/>
      <c r="F15" s="2"/>
      <c r="G15" s="2"/>
      <c r="H15" s="2"/>
    </row>
    <row r="16" spans="1:8" ht="31.5" customHeight="1">
      <c r="D16" s="14"/>
      <c r="E16" s="5"/>
      <c r="F16" s="5"/>
      <c r="G16" s="5"/>
      <c r="H16" s="5"/>
    </row>
    <row r="17" spans="2:8" ht="26.25" customHeight="1">
      <c r="B17" s="17"/>
      <c r="C17" s="16"/>
      <c r="D17" s="11"/>
      <c r="E17" s="2"/>
      <c r="F17" s="2"/>
      <c r="G17" s="2"/>
      <c r="H17" s="2"/>
    </row>
    <row r="18" spans="2:8" ht="31.5" customHeight="1">
      <c r="B18" s="31"/>
      <c r="C18" s="32"/>
      <c r="D18" s="14"/>
      <c r="E18" s="5"/>
      <c r="F18" s="5"/>
      <c r="G18" s="5"/>
      <c r="H18" s="5"/>
    </row>
    <row r="19" spans="2:8" ht="20">
      <c r="B19" s="17"/>
      <c r="C19" s="32"/>
      <c r="D19" s="33"/>
      <c r="E19" s="6"/>
      <c r="F19" s="6"/>
      <c r="G19" s="6"/>
      <c r="H19" s="6"/>
    </row>
    <row r="20" spans="2:8" ht="37.5" customHeight="1">
      <c r="B20" s="175" t="s">
        <v>427</v>
      </c>
      <c r="C20" s="176"/>
      <c r="D20" s="11"/>
      <c r="E20" s="2"/>
      <c r="F20" s="2"/>
      <c r="G20" s="2"/>
      <c r="H20" s="2"/>
    </row>
    <row r="21" spans="2:8" ht="15" customHeight="1">
      <c r="B21" s="175"/>
      <c r="C21" s="176"/>
      <c r="D21" s="11"/>
      <c r="E21" s="2"/>
      <c r="F21" s="2"/>
      <c r="G21" s="2"/>
      <c r="H21" s="2"/>
    </row>
    <row r="22" spans="2:8" ht="21" customHeight="1">
      <c r="B22" s="175"/>
      <c r="C22" s="175"/>
      <c r="D22" s="11"/>
      <c r="E22" s="2"/>
      <c r="F22" s="2"/>
      <c r="G22" s="2"/>
      <c r="H22" s="2"/>
    </row>
    <row r="23" spans="2:8" ht="27" customHeight="1">
      <c r="B23" s="17"/>
      <c r="C23" s="16"/>
      <c r="D23" s="11"/>
      <c r="E23" s="2"/>
      <c r="F23" s="2"/>
      <c r="G23" s="2"/>
      <c r="H23" s="2"/>
    </row>
    <row r="24" spans="2:8" ht="21" customHeight="1">
      <c r="B24" s="17"/>
      <c r="C24" s="16"/>
      <c r="D24" s="11"/>
      <c r="E24" s="2"/>
      <c r="F24" s="2"/>
      <c r="G24" s="2"/>
      <c r="H24" s="2"/>
    </row>
    <row r="25" spans="2:8" ht="21" customHeight="1">
      <c r="B25" s="17"/>
      <c r="C25" s="17"/>
    </row>
    <row r="26" spans="2:8" ht="27" customHeight="1">
      <c r="B26" s="17"/>
      <c r="C26" s="17"/>
    </row>
    <row r="27" spans="2:8" ht="27" customHeight="1">
      <c r="B27" s="17"/>
      <c r="C27" s="16"/>
    </row>
    <row r="28" spans="2:8" ht="27" customHeight="1">
      <c r="B28" s="17"/>
      <c r="C28" s="16"/>
    </row>
    <row r="29" spans="2:8" ht="27" customHeight="1">
      <c r="B29" s="17"/>
      <c r="C29" s="16"/>
    </row>
    <row r="30" spans="2:8" ht="27" customHeight="1">
      <c r="B30" s="17"/>
      <c r="C30" s="16"/>
    </row>
    <row r="31" spans="2:8" ht="27" customHeight="1">
      <c r="B31" s="15"/>
      <c r="C31" s="16"/>
    </row>
    <row r="36" spans="1:4">
      <c r="A36" s="151"/>
      <c r="B36" s="151"/>
      <c r="C36" s="151"/>
      <c r="D36" s="151"/>
    </row>
    <row r="37" spans="1:4" ht="15.5">
      <c r="A37" s="152"/>
      <c r="B37" s="152"/>
      <c r="C37" s="152"/>
      <c r="D37" s="152"/>
    </row>
    <row r="38" spans="1:4" ht="15.5">
      <c r="A38" s="152"/>
      <c r="B38" s="152"/>
      <c r="C38" s="152"/>
      <c r="D38" s="152"/>
    </row>
    <row r="39" spans="1:4" ht="15.5">
      <c r="A39" s="152"/>
      <c r="B39" s="152"/>
      <c r="C39" s="152"/>
      <c r="D39" s="152"/>
    </row>
    <row r="40" spans="1:4" ht="15.5">
      <c r="A40" s="152"/>
      <c r="B40" s="152"/>
      <c r="C40" s="152"/>
      <c r="D40" s="152"/>
    </row>
    <row r="199" ht="15.75" customHeight="1"/>
    <row r="205" ht="48" customHeight="1"/>
    <row r="315" ht="37.5" customHeight="1"/>
    <row r="366" ht="38.25" customHeight="1"/>
    <row r="417" ht="30" customHeight="1"/>
  </sheetData>
  <sheetProtection algorithmName="SHA-512" hashValue="YTOeu5e5DGYMrsrKI53RnrvGdHpmBKTyv8r0o/Jcdiu0nM1lBD4VnwOsOGE327PGaxsI4ffjWzCiSP+h8k7iOg==" saltValue="j4CfK56eOPUOPPqwN+XhIA==" spinCount="100000" sheet="1" objects="1" scenarios="1"/>
  <mergeCells count="10">
    <mergeCell ref="A37:D37"/>
    <mergeCell ref="A38:D38"/>
    <mergeCell ref="A39:D39"/>
    <mergeCell ref="A40:D40"/>
    <mergeCell ref="B2:C2"/>
    <mergeCell ref="B3:C3"/>
    <mergeCell ref="B4:C4"/>
    <mergeCell ref="B5:C5"/>
    <mergeCell ref="B20:C22"/>
    <mergeCell ref="A36:D3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7223-D460-4F91-BCA1-FC71E3460EF9}">
  <dimension ref="A1:F68"/>
  <sheetViews>
    <sheetView showGridLines="0" view="pageBreakPreview" zoomScaleNormal="100" zoomScaleSheetLayoutView="100" workbookViewId="0">
      <selection activeCell="M30" sqref="M30"/>
    </sheetView>
  </sheetViews>
  <sheetFormatPr defaultColWidth="8.7265625" defaultRowHeight="14.5"/>
  <cols>
    <col min="1" max="1" width="8.90625" customWidth="1"/>
    <col min="2" max="2" width="60.26953125" customWidth="1"/>
    <col min="6" max="6" width="13.7265625" customWidth="1"/>
    <col min="7" max="7" width="1.453125" customWidth="1"/>
    <col min="8" max="8" width="6.08984375" customWidth="1"/>
    <col min="9" max="9" width="60.26953125" customWidth="1"/>
    <col min="13" max="13" width="13.7265625" customWidth="1"/>
    <col min="17" max="17" width="12.6328125" bestFit="1" customWidth="1"/>
  </cols>
  <sheetData>
    <row r="1" spans="1:6" ht="15.5">
      <c r="A1" s="192" t="s">
        <v>425</v>
      </c>
      <c r="B1" s="192"/>
      <c r="C1" s="192"/>
      <c r="D1" s="192"/>
      <c r="E1" s="192"/>
      <c r="F1" s="192"/>
    </row>
    <row r="2" spans="1:6" ht="20.25" customHeight="1">
      <c r="A2" s="193" t="s">
        <v>394</v>
      </c>
      <c r="B2" s="193"/>
      <c r="C2" s="193"/>
      <c r="D2" s="193"/>
      <c r="E2" s="193"/>
      <c r="F2" s="193"/>
    </row>
    <row r="3" spans="1:6">
      <c r="A3" s="188" t="s">
        <v>396</v>
      </c>
      <c r="B3" s="188"/>
      <c r="C3" s="188"/>
      <c r="D3" s="188"/>
      <c r="E3" s="188"/>
      <c r="F3" s="21">
        <f>F26</f>
        <v>0.2094</v>
      </c>
    </row>
    <row r="4" spans="1:6" ht="15.5">
      <c r="A4" s="189" t="s">
        <v>397</v>
      </c>
      <c r="B4" s="189"/>
      <c r="C4" s="189"/>
      <c r="D4" s="189"/>
      <c r="E4" s="189"/>
      <c r="F4" s="189"/>
    </row>
    <row r="5" spans="1:6" ht="30" customHeight="1">
      <c r="A5" s="190" t="s">
        <v>398</v>
      </c>
      <c r="B5" s="190"/>
      <c r="C5" s="190"/>
      <c r="D5" s="190"/>
      <c r="E5" s="190"/>
      <c r="F5" s="190"/>
    </row>
    <row r="6" spans="1:6" ht="24" customHeight="1">
      <c r="A6" s="66" t="s">
        <v>4</v>
      </c>
      <c r="B6" s="187" t="s">
        <v>399</v>
      </c>
      <c r="C6" s="187"/>
      <c r="D6" s="22" t="s">
        <v>400</v>
      </c>
      <c r="E6" s="22" t="s">
        <v>401</v>
      </c>
      <c r="F6" s="23" t="s">
        <v>402</v>
      </c>
    </row>
    <row r="7" spans="1:6">
      <c r="A7" s="76"/>
      <c r="B7" s="79"/>
      <c r="C7" s="78"/>
      <c r="D7" s="24"/>
      <c r="E7" s="24"/>
      <c r="F7" s="25"/>
    </row>
    <row r="8" spans="1:6">
      <c r="A8" s="64" t="s">
        <v>403</v>
      </c>
      <c r="B8" s="72" t="s">
        <v>404</v>
      </c>
      <c r="C8" s="73"/>
      <c r="D8" s="63">
        <v>0.04</v>
      </c>
      <c r="E8" s="26" t="s">
        <v>401</v>
      </c>
      <c r="F8" s="27"/>
    </row>
    <row r="9" spans="1:6">
      <c r="A9" s="64" t="s">
        <v>405</v>
      </c>
      <c r="B9" s="72" t="s">
        <v>406</v>
      </c>
      <c r="C9" s="73"/>
      <c r="D9" s="63">
        <v>1.2699999999999999E-2</v>
      </c>
      <c r="E9" s="26" t="s">
        <v>401</v>
      </c>
      <c r="F9" s="27"/>
    </row>
    <row r="10" spans="1:6">
      <c r="A10" s="64" t="s">
        <v>407</v>
      </c>
      <c r="B10" s="72" t="s">
        <v>408</v>
      </c>
      <c r="C10" s="73"/>
      <c r="D10" s="191">
        <v>8.0000000000000002E-3</v>
      </c>
      <c r="E10" s="26" t="s">
        <v>401</v>
      </c>
      <c r="F10" s="27"/>
    </row>
    <row r="11" spans="1:6">
      <c r="A11" s="64" t="s">
        <v>409</v>
      </c>
      <c r="B11" s="72" t="s">
        <v>410</v>
      </c>
      <c r="C11" s="73"/>
      <c r="D11" s="191"/>
      <c r="E11" s="26"/>
      <c r="F11" s="27"/>
    </row>
    <row r="12" spans="1:6">
      <c r="A12" s="66"/>
      <c r="B12" s="184" t="s">
        <v>411</v>
      </c>
      <c r="C12" s="184"/>
      <c r="D12" s="22">
        <f>SUM(D8:D10)</f>
        <v>6.0699999999999997E-2</v>
      </c>
      <c r="E12" s="22"/>
      <c r="F12" s="28">
        <f>D12</f>
        <v>6.0699999999999997E-2</v>
      </c>
    </row>
    <row r="13" spans="1:6">
      <c r="A13" s="76"/>
      <c r="B13" s="77"/>
      <c r="C13" s="78"/>
      <c r="D13" s="24"/>
      <c r="E13" s="24"/>
      <c r="F13" s="25"/>
    </row>
    <row r="14" spans="1:6">
      <c r="A14" s="64" t="s">
        <v>412</v>
      </c>
      <c r="B14" s="72" t="s">
        <v>413</v>
      </c>
      <c r="C14" s="73"/>
      <c r="D14" s="63">
        <v>1.23E-2</v>
      </c>
      <c r="E14" s="26" t="s">
        <v>401</v>
      </c>
      <c r="F14" s="27"/>
    </row>
    <row r="15" spans="1:6">
      <c r="A15" s="64"/>
      <c r="B15" s="184" t="s">
        <v>411</v>
      </c>
      <c r="C15" s="184"/>
      <c r="D15" s="22">
        <f>D14</f>
        <v>1.23E-2</v>
      </c>
      <c r="E15" s="26"/>
      <c r="F15" s="28">
        <f>D15</f>
        <v>1.23E-2</v>
      </c>
    </row>
    <row r="16" spans="1:6">
      <c r="A16" s="64"/>
      <c r="B16" s="75"/>
      <c r="C16" s="75"/>
      <c r="D16" s="22"/>
      <c r="E16" s="26"/>
      <c r="F16" s="28"/>
    </row>
    <row r="17" spans="1:6">
      <c r="A17" s="76"/>
      <c r="B17" s="77" t="s">
        <v>415</v>
      </c>
      <c r="C17" s="78"/>
      <c r="D17" s="24"/>
      <c r="E17" s="24"/>
      <c r="F17" s="25"/>
    </row>
    <row r="18" spans="1:6" ht="13.9" customHeight="1">
      <c r="A18" s="64" t="s">
        <v>416</v>
      </c>
      <c r="B18" s="186" t="s">
        <v>417</v>
      </c>
      <c r="C18" s="186"/>
      <c r="D18" s="63">
        <v>0.03</v>
      </c>
      <c r="E18" s="26" t="s">
        <v>401</v>
      </c>
      <c r="F18" s="27"/>
    </row>
    <row r="19" spans="1:6">
      <c r="A19" s="64" t="s">
        <v>418</v>
      </c>
      <c r="B19" s="72" t="s">
        <v>419</v>
      </c>
      <c r="C19" s="26"/>
      <c r="D19" s="63">
        <v>6.4999999999999997E-3</v>
      </c>
      <c r="E19" s="26" t="s">
        <v>401</v>
      </c>
      <c r="F19" s="27"/>
    </row>
    <row r="20" spans="1:6">
      <c r="A20" s="64" t="s">
        <v>420</v>
      </c>
      <c r="B20" s="74" t="s">
        <v>421</v>
      </c>
      <c r="C20" s="26"/>
      <c r="D20" s="63">
        <v>0.01</v>
      </c>
      <c r="E20" s="26" t="s">
        <v>401</v>
      </c>
      <c r="F20" s="27"/>
    </row>
    <row r="21" spans="1:6">
      <c r="A21" s="64"/>
      <c r="B21" s="184" t="s">
        <v>411</v>
      </c>
      <c r="C21" s="184"/>
      <c r="D21" s="22">
        <f>SUM(D18:D20)</f>
        <v>4.65E-2</v>
      </c>
      <c r="E21" s="26"/>
      <c r="F21" s="28">
        <f>D21</f>
        <v>4.65E-2</v>
      </c>
    </row>
    <row r="22" spans="1:6">
      <c r="A22" s="76"/>
      <c r="B22" s="180"/>
      <c r="C22" s="180"/>
      <c r="D22" s="24"/>
      <c r="E22" s="24"/>
      <c r="F22" s="25"/>
    </row>
    <row r="23" spans="1:6">
      <c r="A23" s="64" t="s">
        <v>422</v>
      </c>
      <c r="B23" s="72" t="s">
        <v>423</v>
      </c>
      <c r="C23" s="73"/>
      <c r="D23" s="63">
        <v>7.3999999999999996E-2</v>
      </c>
      <c r="E23" s="26" t="s">
        <v>401</v>
      </c>
      <c r="F23" s="27"/>
    </row>
    <row r="24" spans="1:6">
      <c r="A24" s="64"/>
      <c r="B24" s="181" t="s">
        <v>424</v>
      </c>
      <c r="C24" s="181"/>
      <c r="D24" s="22">
        <f>D23</f>
        <v>7.3999999999999996E-2</v>
      </c>
      <c r="E24" s="26"/>
      <c r="F24" s="28">
        <f>D24</f>
        <v>7.3999999999999996E-2</v>
      </c>
    </row>
    <row r="25" spans="1:6">
      <c r="A25" s="64"/>
      <c r="B25" s="65"/>
      <c r="C25" s="65"/>
      <c r="D25" s="22"/>
      <c r="E25" s="26"/>
      <c r="F25" s="28"/>
    </row>
    <row r="26" spans="1:6">
      <c r="A26" s="182"/>
      <c r="B26" s="183"/>
      <c r="C26" s="183"/>
      <c r="D26" s="26"/>
      <c r="E26" s="26"/>
      <c r="F26" s="177">
        <f>ROUND((((1+F12)*(1+F15)*(1+F24)/(1-F21))-1),4)</f>
        <v>0.2094</v>
      </c>
    </row>
    <row r="27" spans="1:6">
      <c r="A27" s="182"/>
      <c r="B27" s="67"/>
      <c r="C27" s="67"/>
      <c r="D27" s="26"/>
      <c r="E27" s="26"/>
      <c r="F27" s="177"/>
    </row>
    <row r="28" spans="1:6">
      <c r="A28" s="182"/>
      <c r="B28" s="67"/>
      <c r="C28" s="67"/>
      <c r="D28" s="26"/>
      <c r="E28" s="26"/>
      <c r="F28" s="177"/>
    </row>
    <row r="29" spans="1:6">
      <c r="A29" s="182"/>
      <c r="B29" s="67"/>
      <c r="C29" s="67"/>
      <c r="D29" s="26"/>
      <c r="E29" s="26"/>
      <c r="F29" s="177"/>
    </row>
    <row r="30" spans="1:6">
      <c r="A30" s="182"/>
      <c r="B30" s="67"/>
      <c r="C30" s="67"/>
      <c r="D30" s="26"/>
      <c r="E30" s="26"/>
      <c r="F30" s="177"/>
    </row>
    <row r="31" spans="1:6" ht="15" thickBot="1">
      <c r="A31" s="182"/>
      <c r="B31" s="67"/>
      <c r="C31" s="67"/>
      <c r="D31" s="26"/>
      <c r="E31" s="26"/>
      <c r="F31" s="177"/>
    </row>
    <row r="32" spans="1:6" ht="15.5">
      <c r="A32" s="192" t="s">
        <v>425</v>
      </c>
      <c r="B32" s="192"/>
      <c r="C32" s="192"/>
      <c r="D32" s="192"/>
      <c r="E32" s="192"/>
      <c r="F32" s="192"/>
    </row>
    <row r="33" spans="1:6" ht="20.25" customHeight="1">
      <c r="A33" s="193" t="s">
        <v>395</v>
      </c>
      <c r="B33" s="193"/>
      <c r="C33" s="193"/>
      <c r="D33" s="193"/>
      <c r="E33" s="193"/>
      <c r="F33" s="193"/>
    </row>
    <row r="34" spans="1:6">
      <c r="A34" s="188" t="s">
        <v>396</v>
      </c>
      <c r="B34" s="188"/>
      <c r="C34" s="188"/>
      <c r="D34" s="188"/>
      <c r="E34" s="188"/>
      <c r="F34" s="21">
        <f>F57</f>
        <v>0.15279999999999999</v>
      </c>
    </row>
    <row r="35" spans="1:6" ht="15.5">
      <c r="A35" s="189" t="s">
        <v>397</v>
      </c>
      <c r="B35" s="189"/>
      <c r="C35" s="189"/>
      <c r="D35" s="189"/>
      <c r="E35" s="189"/>
      <c r="F35" s="189"/>
    </row>
    <row r="36" spans="1:6" ht="30" customHeight="1">
      <c r="A36" s="190" t="s">
        <v>398</v>
      </c>
      <c r="B36" s="190"/>
      <c r="C36" s="190"/>
      <c r="D36" s="190"/>
      <c r="E36" s="190"/>
      <c r="F36" s="190"/>
    </row>
    <row r="37" spans="1:6" ht="24" customHeight="1">
      <c r="A37" s="66" t="s">
        <v>4</v>
      </c>
      <c r="B37" s="187" t="s">
        <v>399</v>
      </c>
      <c r="C37" s="187"/>
      <c r="D37" s="22" t="s">
        <v>400</v>
      </c>
      <c r="E37" s="22" t="s">
        <v>401</v>
      </c>
      <c r="F37" s="23" t="s">
        <v>402</v>
      </c>
    </row>
    <row r="38" spans="1:6">
      <c r="A38" s="76"/>
      <c r="B38" s="79"/>
      <c r="C38" s="78"/>
      <c r="D38" s="24"/>
      <c r="E38" s="24"/>
      <c r="F38" s="25"/>
    </row>
    <row r="39" spans="1:6">
      <c r="A39" s="64" t="s">
        <v>403</v>
      </c>
      <c r="B39" s="72" t="s">
        <v>404</v>
      </c>
      <c r="C39" s="73"/>
      <c r="D39" s="63">
        <v>3.4500000000000003E-2</v>
      </c>
      <c r="E39" s="26" t="s">
        <v>401</v>
      </c>
      <c r="F39" s="27"/>
    </row>
    <row r="40" spans="1:6">
      <c r="A40" s="64" t="s">
        <v>405</v>
      </c>
      <c r="B40" s="72" t="s">
        <v>406</v>
      </c>
      <c r="C40" s="73"/>
      <c r="D40" s="63">
        <v>8.5000000000000006E-3</v>
      </c>
      <c r="E40" s="26" t="s">
        <v>401</v>
      </c>
      <c r="F40" s="27"/>
    </row>
    <row r="41" spans="1:6">
      <c r="A41" s="64" t="s">
        <v>407</v>
      </c>
      <c r="B41" s="72" t="s">
        <v>408</v>
      </c>
      <c r="C41" s="73"/>
      <c r="D41" s="191">
        <v>4.7999999999999996E-3</v>
      </c>
      <c r="E41" s="26" t="s">
        <v>401</v>
      </c>
      <c r="F41" s="27"/>
    </row>
    <row r="42" spans="1:6">
      <c r="A42" s="64" t="s">
        <v>409</v>
      </c>
      <c r="B42" s="72" t="s">
        <v>410</v>
      </c>
      <c r="C42" s="73"/>
      <c r="D42" s="191"/>
      <c r="E42" s="26"/>
      <c r="F42" s="27"/>
    </row>
    <row r="43" spans="1:6">
      <c r="A43" s="66"/>
      <c r="B43" s="184" t="s">
        <v>411</v>
      </c>
      <c r="C43" s="184"/>
      <c r="D43" s="22">
        <f>SUM(D39:D41)</f>
        <v>4.7800000000000002E-2</v>
      </c>
      <c r="E43" s="22"/>
      <c r="F43" s="28">
        <f>D43</f>
        <v>4.7800000000000002E-2</v>
      </c>
    </row>
    <row r="44" spans="1:6">
      <c r="A44" s="76"/>
      <c r="B44" s="77"/>
      <c r="C44" s="78"/>
      <c r="D44" s="24"/>
      <c r="E44" s="24"/>
      <c r="F44" s="25"/>
    </row>
    <row r="45" spans="1:6">
      <c r="A45" s="64" t="s">
        <v>412</v>
      </c>
      <c r="B45" s="72" t="s">
        <v>414</v>
      </c>
      <c r="C45" s="73"/>
      <c r="D45" s="63">
        <v>8.5000000000000006E-3</v>
      </c>
      <c r="E45" s="26" t="s">
        <v>401</v>
      </c>
      <c r="F45" s="27"/>
    </row>
    <row r="46" spans="1:6">
      <c r="A46" s="64"/>
      <c r="B46" s="184" t="s">
        <v>411</v>
      </c>
      <c r="C46" s="184"/>
      <c r="D46" s="22">
        <f>D45</f>
        <v>8.5000000000000006E-3</v>
      </c>
      <c r="E46" s="26"/>
      <c r="F46" s="28">
        <f>D46</f>
        <v>8.5000000000000006E-3</v>
      </c>
    </row>
    <row r="47" spans="1:6">
      <c r="A47" s="64"/>
      <c r="B47" s="75"/>
      <c r="C47" s="75"/>
      <c r="D47" s="22"/>
      <c r="E47" s="26"/>
      <c r="F47" s="28"/>
    </row>
    <row r="48" spans="1:6">
      <c r="A48" s="76"/>
      <c r="B48" s="77" t="s">
        <v>415</v>
      </c>
      <c r="C48" s="78"/>
      <c r="D48" s="24"/>
      <c r="E48" s="24"/>
      <c r="F48" s="25"/>
    </row>
    <row r="49" spans="1:6" ht="13.9" customHeight="1">
      <c r="A49" s="64" t="s">
        <v>416</v>
      </c>
      <c r="B49" s="186" t="s">
        <v>417</v>
      </c>
      <c r="C49" s="186"/>
      <c r="D49" s="63">
        <v>0.03</v>
      </c>
      <c r="E49" s="26" t="s">
        <v>401</v>
      </c>
      <c r="F49" s="27"/>
    </row>
    <row r="50" spans="1:6">
      <c r="A50" s="64" t="s">
        <v>418</v>
      </c>
      <c r="B50" s="72" t="s">
        <v>419</v>
      </c>
      <c r="C50" s="26"/>
      <c r="D50" s="63">
        <v>6.4999999999999997E-3</v>
      </c>
      <c r="E50" s="26" t="s">
        <v>401</v>
      </c>
      <c r="F50" s="27"/>
    </row>
    <row r="51" spans="1:6">
      <c r="A51" s="64"/>
      <c r="B51" s="74"/>
      <c r="C51" s="26"/>
      <c r="D51" s="26"/>
      <c r="E51" s="26"/>
      <c r="F51" s="27"/>
    </row>
    <row r="52" spans="1:6">
      <c r="A52" s="64"/>
      <c r="B52" s="184" t="s">
        <v>411</v>
      </c>
      <c r="C52" s="184"/>
      <c r="D52" s="22">
        <f>SUM(D49:D51)</f>
        <v>3.6499999999999998E-2</v>
      </c>
      <c r="E52" s="26"/>
      <c r="F52" s="28">
        <f>D52</f>
        <v>3.6499999999999998E-2</v>
      </c>
    </row>
    <row r="53" spans="1:6">
      <c r="A53" s="76"/>
      <c r="B53" s="180"/>
      <c r="C53" s="180"/>
      <c r="D53" s="24"/>
      <c r="E53" s="24"/>
      <c r="F53" s="25"/>
    </row>
    <row r="54" spans="1:6">
      <c r="A54" s="64" t="s">
        <v>420</v>
      </c>
      <c r="B54" s="72" t="s">
        <v>423</v>
      </c>
      <c r="C54" s="73"/>
      <c r="D54" s="63">
        <v>5.11E-2</v>
      </c>
      <c r="E54" s="26" t="s">
        <v>401</v>
      </c>
      <c r="F54" s="27"/>
    </row>
    <row r="55" spans="1:6">
      <c r="A55" s="64"/>
      <c r="B55" s="181" t="s">
        <v>424</v>
      </c>
      <c r="C55" s="181"/>
      <c r="D55" s="22">
        <f>D54</f>
        <v>5.11E-2</v>
      </c>
      <c r="E55" s="26"/>
      <c r="F55" s="28">
        <f>D55</f>
        <v>5.11E-2</v>
      </c>
    </row>
    <row r="56" spans="1:6">
      <c r="A56" s="64"/>
      <c r="B56" s="65"/>
      <c r="C56" s="65"/>
      <c r="D56" s="22"/>
      <c r="E56" s="26"/>
      <c r="F56" s="28"/>
    </row>
    <row r="57" spans="1:6">
      <c r="A57" s="182"/>
      <c r="B57" s="183"/>
      <c r="C57" s="183"/>
      <c r="D57" s="26"/>
      <c r="E57" s="26"/>
      <c r="F57" s="177">
        <f>ROUND((((1+F43)*(1+F46)*(1+F55)/(1-F52))-1),4)</f>
        <v>0.15279999999999999</v>
      </c>
    </row>
    <row r="58" spans="1:6">
      <c r="A58" s="182"/>
      <c r="B58" s="67"/>
      <c r="C58" s="67"/>
      <c r="D58" s="26"/>
      <c r="E58" s="26"/>
      <c r="F58" s="177"/>
    </row>
    <row r="59" spans="1:6">
      <c r="A59" s="182"/>
      <c r="B59" s="67"/>
      <c r="C59" s="67"/>
      <c r="D59" s="26"/>
      <c r="E59" s="26"/>
      <c r="F59" s="177"/>
    </row>
    <row r="60" spans="1:6">
      <c r="A60" s="182"/>
      <c r="B60" s="67"/>
      <c r="C60" s="67"/>
      <c r="D60" s="26"/>
      <c r="E60" s="26"/>
      <c r="F60" s="177"/>
    </row>
    <row r="61" spans="1:6">
      <c r="A61" s="182"/>
      <c r="B61" s="67"/>
      <c r="C61" s="67"/>
      <c r="D61" s="26"/>
      <c r="E61" s="26"/>
      <c r="F61" s="177"/>
    </row>
    <row r="62" spans="1:6" ht="15" thickBot="1">
      <c r="A62" s="185"/>
      <c r="B62" s="68"/>
      <c r="C62" s="68"/>
      <c r="D62" s="39"/>
      <c r="E62" s="39"/>
      <c r="F62" s="178"/>
    </row>
    <row r="63" spans="1:6">
      <c r="A63" s="67"/>
      <c r="B63" s="67"/>
      <c r="C63" s="67"/>
      <c r="D63" s="26"/>
      <c r="E63" s="26"/>
      <c r="F63" s="22"/>
    </row>
    <row r="64" spans="1:6">
      <c r="A64" s="179" t="s">
        <v>1147</v>
      </c>
      <c r="B64" s="179"/>
      <c r="C64" s="179"/>
      <c r="D64" s="179"/>
      <c r="E64" s="179"/>
      <c r="F64" s="179"/>
    </row>
    <row r="65" spans="1:6" ht="15.5">
      <c r="A65" s="70" t="str">
        <f>'CAPA LICITAÇÃO'!A36</f>
        <v>RESPONSÁVEL TÉCNICO PELA ELABORAÇÃO DA PLANILHA (NOME COMPLETO)</v>
      </c>
      <c r="B65" s="71"/>
      <c r="C65" s="70"/>
      <c r="D65" s="70"/>
      <c r="E65" s="70"/>
      <c r="F65" s="71"/>
    </row>
    <row r="66" spans="1:6" ht="15.5">
      <c r="A66" s="70" t="str">
        <f>'CAPA LICITAÇÃO'!A37</f>
        <v>Responsável Técnico pela Elaboração da planilha e preços</v>
      </c>
      <c r="B66" s="71"/>
      <c r="C66" s="70"/>
      <c r="D66" s="70"/>
      <c r="E66" s="70"/>
      <c r="F66" s="71"/>
    </row>
    <row r="67" spans="1:6" ht="15.5">
      <c r="A67" s="70" t="str">
        <f>'CAPA LICITAÇÃO'!A38</f>
        <v>FORMAÇÃO E Nº DO REGISTRO EM CONSELHO</v>
      </c>
      <c r="B67" s="71"/>
      <c r="C67" s="70"/>
      <c r="D67" s="70"/>
      <c r="E67" s="70"/>
      <c r="F67" s="71"/>
    </row>
    <row r="68" spans="1:6" ht="15.5">
      <c r="A68" s="70" t="str">
        <f>'CAPA LICITAÇÃO'!A39</f>
        <v>NOME DA EMPRESA</v>
      </c>
      <c r="B68" s="71"/>
      <c r="C68" s="70"/>
      <c r="D68" s="70"/>
      <c r="E68" s="70"/>
      <c r="F68" s="71"/>
    </row>
  </sheetData>
  <sheetProtection algorithmName="SHA-512" hashValue="AailPQn7KpLHZpljbFimwKVsuQI/unQPtDVQpGuRFikdUaIvizO3ezzkZDD3iCFm8w6Yux3ZXWQTal6aZekmaA==" saltValue="5a8Wv4Pxt4QC46wnc1s1qw==" spinCount="100000" sheet="1" objects="1" scenarios="1"/>
  <mergeCells count="33">
    <mergeCell ref="A1:F1"/>
    <mergeCell ref="A32:F32"/>
    <mergeCell ref="A2:F2"/>
    <mergeCell ref="A33:F33"/>
    <mergeCell ref="B15:C15"/>
    <mergeCell ref="B6:C6"/>
    <mergeCell ref="D10:D11"/>
    <mergeCell ref="F26:F31"/>
    <mergeCell ref="B12:C12"/>
    <mergeCell ref="A3:E3"/>
    <mergeCell ref="A4:F4"/>
    <mergeCell ref="A5:F5"/>
    <mergeCell ref="B18:C18"/>
    <mergeCell ref="B21:C21"/>
    <mergeCell ref="B52:C52"/>
    <mergeCell ref="B37:C37"/>
    <mergeCell ref="B22:C22"/>
    <mergeCell ref="B43:C43"/>
    <mergeCell ref="A34:E34"/>
    <mergeCell ref="A35:F35"/>
    <mergeCell ref="A36:F36"/>
    <mergeCell ref="D41:D42"/>
    <mergeCell ref="B24:C24"/>
    <mergeCell ref="F57:F62"/>
    <mergeCell ref="A64:F64"/>
    <mergeCell ref="B53:C53"/>
    <mergeCell ref="B55:C55"/>
    <mergeCell ref="A26:A31"/>
    <mergeCell ref="B26:C26"/>
    <mergeCell ref="B46:C46"/>
    <mergeCell ref="A57:A62"/>
    <mergeCell ref="B57:C57"/>
    <mergeCell ref="B49:C4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orientation="portrait" r:id="rId1"/>
  <rowBreaks count="1" manualBreakCount="1">
    <brk id="68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52BD-BF5B-4A6D-A59F-DB48957820FC}">
  <dimension ref="A1:H417"/>
  <sheetViews>
    <sheetView showGridLines="0" view="pageBreakPreview" topLeftCell="B1" zoomScaleNormal="85" zoomScaleSheetLayoutView="100" workbookViewId="0">
      <selection activeCell="M27" sqref="M27"/>
    </sheetView>
  </sheetViews>
  <sheetFormatPr defaultRowHeight="14.5"/>
  <cols>
    <col min="1" max="1" width="4.81640625" style="7" customWidth="1"/>
    <col min="2" max="2" width="49.26953125" style="8" customWidth="1"/>
    <col min="3" max="3" width="50.54296875" style="9" customWidth="1"/>
    <col min="4" max="4" width="4.81640625" style="10" customWidth="1"/>
    <col min="5" max="5" width="12.54296875" style="1" customWidth="1"/>
    <col min="6" max="6" width="16.90625" style="1" bestFit="1" customWidth="1"/>
    <col min="7" max="7" width="11.81640625" style="1" customWidth="1"/>
    <col min="8" max="8" width="22.36328125" style="1" bestFit="1" customWidth="1"/>
    <col min="9" max="9" width="16.6328125" customWidth="1"/>
    <col min="12" max="12" width="37.54296875" customWidth="1"/>
    <col min="14" max="14" width="13.26953125" customWidth="1"/>
    <col min="16" max="16" width="21.36328125" customWidth="1"/>
    <col min="19" max="19" width="13.7265625" customWidth="1"/>
  </cols>
  <sheetData>
    <row r="1" spans="1:8" ht="36.75" customHeight="1"/>
    <row r="2" spans="1:8" ht="18.75" customHeight="1">
      <c r="B2" s="174"/>
      <c r="C2" s="174"/>
    </row>
    <row r="3" spans="1:8" ht="15.75" customHeight="1">
      <c r="B3" s="174"/>
      <c r="C3" s="174"/>
    </row>
    <row r="4" spans="1:8" ht="15.5">
      <c r="B4" s="174"/>
      <c r="C4" s="174"/>
    </row>
    <row r="5" spans="1:8" ht="15" customHeight="1">
      <c r="B5" s="174"/>
      <c r="C5" s="174"/>
      <c r="D5" s="11"/>
      <c r="E5" s="2"/>
      <c r="F5" s="2"/>
      <c r="G5" s="2"/>
      <c r="H5" s="2"/>
    </row>
    <row r="6" spans="1:8" ht="15" customHeight="1">
      <c r="D6" s="11"/>
      <c r="E6" s="2"/>
      <c r="F6" s="2"/>
      <c r="G6" s="2"/>
      <c r="H6" s="2"/>
    </row>
    <row r="7" spans="1:8" ht="15.5">
      <c r="B7" s="3"/>
      <c r="C7" s="3"/>
      <c r="D7" s="3"/>
      <c r="E7" s="3"/>
      <c r="F7" s="3"/>
      <c r="G7" s="3"/>
      <c r="H7" s="3"/>
    </row>
    <row r="8" spans="1:8" s="4" customFormat="1">
      <c r="A8" s="12"/>
      <c r="B8" s="8"/>
      <c r="C8" s="8"/>
      <c r="D8" s="10"/>
      <c r="E8" s="1"/>
      <c r="F8" s="1"/>
      <c r="G8" s="1"/>
      <c r="H8" s="1"/>
    </row>
    <row r="9" spans="1:8" s="4" customFormat="1" ht="15.5">
      <c r="A9" s="12"/>
      <c r="D9" s="10"/>
      <c r="E9" s="1"/>
      <c r="F9" s="3"/>
      <c r="G9" s="1"/>
      <c r="H9" s="1"/>
    </row>
    <row r="10" spans="1:8" s="4" customFormat="1" ht="32.5">
      <c r="A10" s="12"/>
      <c r="B10" s="13"/>
      <c r="C10" s="13"/>
      <c r="D10" s="10"/>
      <c r="E10" s="1"/>
      <c r="F10" s="1"/>
      <c r="G10" s="1"/>
      <c r="H10" s="1"/>
    </row>
    <row r="11" spans="1:8" s="4" customFormat="1" ht="33" customHeight="1">
      <c r="A11" s="12"/>
      <c r="B11" s="17"/>
      <c r="C11" s="16"/>
      <c r="D11" s="14"/>
      <c r="E11" s="5"/>
      <c r="F11" s="3"/>
      <c r="G11" s="5"/>
      <c r="H11" s="5"/>
    </row>
    <row r="12" spans="1:8" s="4" customFormat="1" ht="24" customHeight="1">
      <c r="A12" s="12"/>
      <c r="B12" s="17"/>
      <c r="C12" s="16"/>
      <c r="D12" s="14"/>
      <c r="E12" s="5"/>
      <c r="F12" s="5"/>
      <c r="G12" s="5"/>
      <c r="H12" s="5"/>
    </row>
    <row r="13" spans="1:8" s="4" customFormat="1" ht="24" customHeight="1">
      <c r="A13" s="12"/>
      <c r="B13" s="17"/>
      <c r="C13" s="16"/>
      <c r="D13" s="14"/>
      <c r="E13" s="5"/>
      <c r="F13" s="3"/>
      <c r="G13" s="5"/>
      <c r="H13" s="5"/>
    </row>
    <row r="14" spans="1:8" s="4" customFormat="1" ht="47.25" customHeight="1">
      <c r="A14" s="12"/>
      <c r="B14" s="17"/>
      <c r="C14" s="16"/>
      <c r="D14" s="11"/>
      <c r="E14" s="2"/>
      <c r="F14" s="2"/>
      <c r="G14" s="2"/>
      <c r="H14" s="2"/>
    </row>
    <row r="15" spans="1:8" ht="20.149999999999999" customHeight="1">
      <c r="B15" s="17"/>
      <c r="C15" s="16"/>
      <c r="D15" s="11"/>
      <c r="E15" s="2"/>
      <c r="F15" s="2"/>
      <c r="G15" s="2"/>
      <c r="H15" s="2"/>
    </row>
    <row r="16" spans="1:8" ht="31.5" customHeight="1">
      <c r="D16" s="14"/>
      <c r="E16" s="5"/>
      <c r="F16" s="5"/>
      <c r="G16" s="5"/>
      <c r="H16" s="5"/>
    </row>
    <row r="17" spans="2:8" ht="26.25" customHeight="1">
      <c r="B17" s="17"/>
      <c r="C17" s="16"/>
      <c r="D17" s="11"/>
      <c r="E17" s="2"/>
      <c r="F17" s="2"/>
      <c r="G17" s="2"/>
      <c r="H17" s="2"/>
    </row>
    <row r="18" spans="2:8" ht="31.5" customHeight="1">
      <c r="B18" s="31"/>
      <c r="C18" s="32"/>
      <c r="D18" s="14"/>
      <c r="E18" s="5"/>
      <c r="F18" s="5"/>
      <c r="G18" s="5"/>
      <c r="H18" s="5"/>
    </row>
    <row r="19" spans="2:8" ht="20">
      <c r="B19" s="17"/>
      <c r="C19" s="32"/>
      <c r="D19" s="33"/>
      <c r="E19" s="6"/>
      <c r="F19" s="6"/>
      <c r="G19" s="6"/>
      <c r="H19" s="6"/>
    </row>
    <row r="20" spans="2:8" ht="37.5" customHeight="1">
      <c r="B20" s="175" t="s">
        <v>22</v>
      </c>
      <c r="C20" s="176"/>
      <c r="D20" s="11"/>
      <c r="E20" s="2"/>
      <c r="F20" s="2"/>
      <c r="G20" s="2"/>
      <c r="H20" s="2"/>
    </row>
    <row r="21" spans="2:8" ht="15" customHeight="1">
      <c r="B21" s="175"/>
      <c r="C21" s="176"/>
      <c r="D21" s="11"/>
      <c r="E21" s="2"/>
      <c r="F21" s="2"/>
      <c r="G21" s="2"/>
      <c r="H21" s="2"/>
    </row>
    <row r="22" spans="2:8" ht="21" customHeight="1">
      <c r="B22" s="175"/>
      <c r="C22" s="175"/>
      <c r="D22" s="11"/>
      <c r="E22" s="2"/>
      <c r="F22" s="2"/>
      <c r="G22" s="2"/>
      <c r="H22" s="2"/>
    </row>
    <row r="23" spans="2:8" ht="27" customHeight="1">
      <c r="B23" s="17"/>
      <c r="C23" s="16"/>
      <c r="D23" s="11"/>
      <c r="E23" s="2"/>
      <c r="F23" s="2"/>
      <c r="G23" s="2"/>
      <c r="H23" s="2"/>
    </row>
    <row r="24" spans="2:8" ht="21" customHeight="1">
      <c r="B24" s="17"/>
      <c r="C24" s="16"/>
      <c r="D24" s="11"/>
      <c r="E24" s="2"/>
      <c r="F24" s="2"/>
      <c r="G24" s="2"/>
      <c r="H24" s="2"/>
    </row>
    <row r="25" spans="2:8" ht="21" customHeight="1">
      <c r="B25" s="17"/>
      <c r="C25" s="17"/>
    </row>
    <row r="26" spans="2:8" ht="27" customHeight="1">
      <c r="B26" s="17"/>
      <c r="C26" s="17"/>
    </row>
    <row r="27" spans="2:8" ht="27" customHeight="1">
      <c r="B27" s="17"/>
      <c r="C27" s="16"/>
    </row>
    <row r="28" spans="2:8" ht="27" customHeight="1">
      <c r="B28" s="17"/>
      <c r="C28" s="16"/>
    </row>
    <row r="29" spans="2:8" ht="27" customHeight="1">
      <c r="B29" s="17"/>
      <c r="C29" s="16"/>
    </row>
    <row r="30" spans="2:8" ht="27" customHeight="1">
      <c r="B30" s="17"/>
      <c r="C30" s="16"/>
    </row>
    <row r="31" spans="2:8" ht="27" customHeight="1">
      <c r="B31" s="15"/>
      <c r="C31" s="16"/>
    </row>
    <row r="36" spans="1:4">
      <c r="A36" s="151"/>
      <c r="B36" s="151"/>
      <c r="C36" s="151"/>
      <c r="D36" s="151"/>
    </row>
    <row r="37" spans="1:4" ht="15.5">
      <c r="A37" s="152"/>
      <c r="B37" s="152"/>
      <c r="C37" s="152"/>
      <c r="D37" s="152"/>
    </row>
    <row r="38" spans="1:4" ht="15.5">
      <c r="A38" s="152"/>
      <c r="B38" s="152"/>
      <c r="C38" s="152"/>
      <c r="D38" s="152"/>
    </row>
    <row r="39" spans="1:4" ht="15.5">
      <c r="A39" s="152"/>
      <c r="B39" s="152"/>
      <c r="C39" s="152"/>
      <c r="D39" s="152"/>
    </row>
    <row r="40" spans="1:4" ht="15.5">
      <c r="A40" s="152"/>
      <c r="B40" s="152"/>
      <c r="C40" s="152"/>
      <c r="D40" s="152"/>
    </row>
    <row r="199" ht="15.75" customHeight="1"/>
    <row r="205" ht="48" customHeight="1"/>
    <row r="315" ht="37.5" customHeight="1"/>
    <row r="366" ht="38.25" customHeight="1"/>
    <row r="417" ht="30" customHeight="1"/>
  </sheetData>
  <sheetProtection algorithmName="SHA-512" hashValue="5SvkvURy5MtjgesxK3Fp21+eBWWtOcw/s+FIQtjqjyVvJddamATXGuIKxLY2uamjON+j131DaWDhJAh1XAZsVA==" saltValue="38NQC7zLa8xVYsloJXJDhQ==" spinCount="100000" sheet="1" objects="1" scenarios="1"/>
  <mergeCells count="10">
    <mergeCell ref="B2:C2"/>
    <mergeCell ref="B3:C3"/>
    <mergeCell ref="B4:C4"/>
    <mergeCell ref="B5:C5"/>
    <mergeCell ref="B20:C22"/>
    <mergeCell ref="A40:D40"/>
    <mergeCell ref="A36:D36"/>
    <mergeCell ref="A37:D37"/>
    <mergeCell ref="A38:D38"/>
    <mergeCell ref="A39:D3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1" orientation="portrait" r:id="rId1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E074-3C65-4C2B-9C61-5336EF166F18}">
  <dimension ref="A1:D413"/>
  <sheetViews>
    <sheetView showGridLines="0" view="pageBreakPreview" zoomScaleNormal="100" zoomScaleSheetLayoutView="100" workbookViewId="0">
      <selection activeCell="Q30" sqref="Q30"/>
    </sheetView>
  </sheetViews>
  <sheetFormatPr defaultRowHeight="14.5"/>
  <cols>
    <col min="1" max="1" width="23.26953125" customWidth="1"/>
    <col min="2" max="2" width="33.54296875" customWidth="1"/>
    <col min="3" max="4" width="19.54296875" customWidth="1"/>
  </cols>
  <sheetData>
    <row r="1" spans="1:4">
      <c r="A1" t="str">
        <f>'CAPA LICITAÇÃO'!B3</f>
        <v>Empresa licitante: PREENCHER SOMENTE AS CÉLULAS EM AMARELO.</v>
      </c>
    </row>
    <row r="2" spans="1:4">
      <c r="A2" t="str">
        <f>'CAPA LICITAÇÃO'!B5</f>
        <v>CNPJ:</v>
      </c>
    </row>
    <row r="3" spans="1:4">
      <c r="A3" t="str">
        <f>'CAPA LICITAÇÃO'!B10</f>
        <v>Objeto: Construção do Galpão do Cesma</v>
      </c>
    </row>
    <row r="5" spans="1:4">
      <c r="A5" s="94" t="s">
        <v>1148</v>
      </c>
      <c r="B5" s="83"/>
      <c r="C5" s="83"/>
      <c r="D5" s="83"/>
    </row>
    <row r="6" spans="1:4">
      <c r="A6" s="95"/>
      <c r="B6" s="89"/>
      <c r="C6" s="89"/>
      <c r="D6" s="90"/>
    </row>
    <row r="7" spans="1:4">
      <c r="A7" s="91" t="s">
        <v>1149</v>
      </c>
      <c r="B7" s="92"/>
      <c r="C7" s="93" t="s">
        <v>1150</v>
      </c>
      <c r="D7" s="40" t="s">
        <v>1151</v>
      </c>
    </row>
    <row r="8" spans="1:4">
      <c r="A8" s="88"/>
      <c r="B8" s="89"/>
      <c r="C8" s="89"/>
      <c r="D8" s="90"/>
    </row>
    <row r="9" spans="1:4">
      <c r="A9" s="83" t="s">
        <v>1152</v>
      </c>
      <c r="B9" s="83"/>
      <c r="C9" s="83"/>
      <c r="D9" s="83"/>
    </row>
    <row r="10" spans="1:4">
      <c r="A10" s="80" t="s">
        <v>3</v>
      </c>
      <c r="B10" s="80" t="s">
        <v>1153</v>
      </c>
      <c r="C10" s="80" t="s">
        <v>1154</v>
      </c>
      <c r="D10" s="80" t="s">
        <v>1155</v>
      </c>
    </row>
    <row r="11" spans="1:4">
      <c r="A11" s="83" t="s">
        <v>1156</v>
      </c>
      <c r="B11" s="83"/>
      <c r="C11" s="83"/>
      <c r="D11" s="83"/>
    </row>
    <row r="12" spans="1:4">
      <c r="A12" s="80" t="s">
        <v>1157</v>
      </c>
      <c r="B12" s="81" t="s">
        <v>1158</v>
      </c>
      <c r="C12" s="41"/>
      <c r="D12" s="41"/>
    </row>
    <row r="13" spans="1:4">
      <c r="A13" s="80" t="s">
        <v>1159</v>
      </c>
      <c r="B13" s="81" t="s">
        <v>1160</v>
      </c>
      <c r="C13" s="41"/>
      <c r="D13" s="41"/>
    </row>
    <row r="14" spans="1:4">
      <c r="A14" s="80" t="s">
        <v>1161</v>
      </c>
      <c r="B14" s="81" t="s">
        <v>1162</v>
      </c>
      <c r="C14" s="41"/>
      <c r="D14" s="41"/>
    </row>
    <row r="15" spans="1:4">
      <c r="A15" s="80" t="s">
        <v>1163</v>
      </c>
      <c r="B15" s="81" t="s">
        <v>1164</v>
      </c>
      <c r="C15" s="41"/>
      <c r="D15" s="41"/>
    </row>
    <row r="16" spans="1:4">
      <c r="A16" s="80" t="s">
        <v>1165</v>
      </c>
      <c r="B16" s="81" t="s">
        <v>1166</v>
      </c>
      <c r="C16" s="41"/>
      <c r="D16" s="41"/>
    </row>
    <row r="17" spans="1:4">
      <c r="A17" s="80" t="s">
        <v>1167</v>
      </c>
      <c r="B17" s="81" t="s">
        <v>1168</v>
      </c>
      <c r="C17" s="41"/>
      <c r="D17" s="41"/>
    </row>
    <row r="18" spans="1:4" ht="29">
      <c r="A18" s="80" t="s">
        <v>1169</v>
      </c>
      <c r="B18" s="81" t="s">
        <v>1170</v>
      </c>
      <c r="C18" s="41"/>
      <c r="D18" s="41"/>
    </row>
    <row r="19" spans="1:4">
      <c r="A19" s="80" t="s">
        <v>1171</v>
      </c>
      <c r="B19" s="81" t="s">
        <v>1172</v>
      </c>
      <c r="C19" s="41"/>
      <c r="D19" s="41"/>
    </row>
    <row r="20" spans="1:4">
      <c r="A20" s="80" t="s">
        <v>1173</v>
      </c>
      <c r="B20" s="81" t="s">
        <v>1174</v>
      </c>
      <c r="C20" s="41"/>
      <c r="D20" s="41"/>
    </row>
    <row r="21" spans="1:4">
      <c r="A21" s="80" t="s">
        <v>1175</v>
      </c>
      <c r="B21" s="81" t="s">
        <v>1176</v>
      </c>
      <c r="C21" s="82">
        <f>SUM(C12:C20)</f>
        <v>0</v>
      </c>
      <c r="D21" s="82">
        <f>SUM(D12:D20)</f>
        <v>0</v>
      </c>
    </row>
    <row r="22" spans="1:4">
      <c r="A22" s="83" t="s">
        <v>1177</v>
      </c>
      <c r="B22" s="87"/>
      <c r="C22" s="84"/>
      <c r="D22" s="84"/>
    </row>
    <row r="23" spans="1:4">
      <c r="A23" s="80" t="s">
        <v>1178</v>
      </c>
      <c r="B23" s="81" t="s">
        <v>1179</v>
      </c>
      <c r="C23" s="41"/>
      <c r="D23" s="41"/>
    </row>
    <row r="24" spans="1:4">
      <c r="A24" s="80" t="s">
        <v>1180</v>
      </c>
      <c r="B24" s="81" t="s">
        <v>1181</v>
      </c>
      <c r="C24" s="41"/>
      <c r="D24" s="41"/>
    </row>
    <row r="25" spans="1:4">
      <c r="A25" s="80" t="s">
        <v>1182</v>
      </c>
      <c r="B25" s="81" t="s">
        <v>1183</v>
      </c>
      <c r="C25" s="41"/>
      <c r="D25" s="41"/>
    </row>
    <row r="26" spans="1:4">
      <c r="A26" s="80" t="s">
        <v>1184</v>
      </c>
      <c r="B26" s="81" t="s">
        <v>1185</v>
      </c>
      <c r="C26" s="41"/>
      <c r="D26" s="41"/>
    </row>
    <row r="27" spans="1:4">
      <c r="A27" s="80" t="s">
        <v>1186</v>
      </c>
      <c r="B27" s="81" t="s">
        <v>1187</v>
      </c>
      <c r="C27" s="41"/>
      <c r="D27" s="41"/>
    </row>
    <row r="28" spans="1:4">
      <c r="A28" s="80" t="s">
        <v>1188</v>
      </c>
      <c r="B28" s="81" t="s">
        <v>1189</v>
      </c>
      <c r="C28" s="41"/>
      <c r="D28" s="41"/>
    </row>
    <row r="29" spans="1:4">
      <c r="A29" s="80" t="s">
        <v>1190</v>
      </c>
      <c r="B29" s="81" t="s">
        <v>1191</v>
      </c>
      <c r="C29" s="41"/>
      <c r="D29" s="41"/>
    </row>
    <row r="30" spans="1:4">
      <c r="A30" s="80" t="s">
        <v>1192</v>
      </c>
      <c r="B30" s="81" t="s">
        <v>1193</v>
      </c>
      <c r="C30" s="41"/>
      <c r="D30" s="41"/>
    </row>
    <row r="31" spans="1:4">
      <c r="A31" s="80" t="s">
        <v>1194</v>
      </c>
      <c r="B31" s="81" t="s">
        <v>1195</v>
      </c>
      <c r="C31" s="41"/>
      <c r="D31" s="41"/>
    </row>
    <row r="32" spans="1:4">
      <c r="A32" s="80" t="s">
        <v>1196</v>
      </c>
      <c r="B32" s="81" t="s">
        <v>1197</v>
      </c>
      <c r="C32" s="41"/>
      <c r="D32" s="41"/>
    </row>
    <row r="33" spans="1:4">
      <c r="A33" s="80" t="s">
        <v>1141</v>
      </c>
      <c r="B33" s="86" t="s">
        <v>1176</v>
      </c>
      <c r="C33" s="82">
        <f>SUM(C23:C32)</f>
        <v>0</v>
      </c>
      <c r="D33" s="82">
        <f>SUM(D23:D32)</f>
        <v>0</v>
      </c>
    </row>
    <row r="34" spans="1:4">
      <c r="A34" s="83" t="s">
        <v>1198</v>
      </c>
      <c r="B34" s="87"/>
      <c r="C34" s="84"/>
      <c r="D34" s="84"/>
    </row>
    <row r="35" spans="1:4">
      <c r="A35" s="80" t="s">
        <v>1199</v>
      </c>
      <c r="B35" s="81" t="s">
        <v>1200</v>
      </c>
      <c r="C35" s="41"/>
      <c r="D35" s="41"/>
    </row>
    <row r="36" spans="1:4">
      <c r="A36" s="80" t="s">
        <v>1201</v>
      </c>
      <c r="B36" s="81" t="s">
        <v>1202</v>
      </c>
      <c r="C36" s="41"/>
      <c r="D36" s="41"/>
    </row>
    <row r="37" spans="1:4">
      <c r="A37" s="80" t="s">
        <v>1203</v>
      </c>
      <c r="B37" s="81" t="s">
        <v>1204</v>
      </c>
      <c r="C37" s="41"/>
      <c r="D37" s="41"/>
    </row>
    <row r="38" spans="1:4" ht="29">
      <c r="A38" s="80" t="s">
        <v>1205</v>
      </c>
      <c r="B38" s="81" t="s">
        <v>1206</v>
      </c>
      <c r="C38" s="41"/>
      <c r="D38" s="41"/>
    </row>
    <row r="39" spans="1:4">
      <c r="A39" s="80" t="s">
        <v>1207</v>
      </c>
      <c r="B39" s="81" t="s">
        <v>1208</v>
      </c>
      <c r="C39" s="41"/>
      <c r="D39" s="41"/>
    </row>
    <row r="40" spans="1:4">
      <c r="A40" s="80" t="s">
        <v>1209</v>
      </c>
      <c r="B40" s="86" t="s">
        <v>1176</v>
      </c>
      <c r="C40" s="82">
        <f>SUM(C35:C39)</f>
        <v>0</v>
      </c>
      <c r="D40" s="82">
        <f>SUM(D35:D39)</f>
        <v>0</v>
      </c>
    </row>
    <row r="41" spans="1:4">
      <c r="A41" s="83" t="s">
        <v>1210</v>
      </c>
      <c r="B41" s="87"/>
      <c r="C41" s="84"/>
      <c r="D41" s="84"/>
    </row>
    <row r="42" spans="1:4" ht="58">
      <c r="A42" s="80" t="s">
        <v>1199</v>
      </c>
      <c r="B42" s="81" t="s">
        <v>1215</v>
      </c>
      <c r="C42" s="41"/>
      <c r="D42" s="41"/>
    </row>
    <row r="43" spans="1:4" ht="58">
      <c r="A43" s="80" t="s">
        <v>1201</v>
      </c>
      <c r="B43" s="81" t="s">
        <v>1211</v>
      </c>
      <c r="C43" s="41"/>
      <c r="D43" s="41"/>
    </row>
    <row r="44" spans="1:4">
      <c r="A44" s="80" t="s">
        <v>1212</v>
      </c>
      <c r="B44" s="81" t="s">
        <v>1176</v>
      </c>
      <c r="C44" s="82">
        <f>SUM(C42:C43)</f>
        <v>0</v>
      </c>
      <c r="D44" s="82">
        <f>SUM(D42:D43)</f>
        <v>0</v>
      </c>
    </row>
    <row r="45" spans="1:4">
      <c r="A45" s="83" t="s">
        <v>1213</v>
      </c>
      <c r="B45" s="83"/>
      <c r="C45" s="84">
        <f>C21+C33+C40+C44</f>
        <v>0</v>
      </c>
      <c r="D45" s="84">
        <f>D21+D33+D40+D44</f>
        <v>0</v>
      </c>
    </row>
    <row r="46" spans="1:4">
      <c r="A46" s="71"/>
      <c r="B46" s="71"/>
      <c r="C46" s="85"/>
      <c r="D46" s="85"/>
    </row>
    <row r="47" spans="1:4">
      <c r="A47" s="71" t="s">
        <v>1214</v>
      </c>
      <c r="B47" s="71"/>
      <c r="C47" s="71"/>
      <c r="D47" s="71"/>
    </row>
    <row r="48" spans="1:4" ht="15.5">
      <c r="A48" s="70" t="str">
        <f>'CAPA LICITAÇÃO'!A36</f>
        <v>RESPONSÁVEL TÉCNICO PELA ELABORAÇÃO DA PLANILHA (NOME COMPLETO)</v>
      </c>
      <c r="B48" s="70"/>
      <c r="C48" s="70"/>
      <c r="D48" s="70"/>
    </row>
    <row r="49" spans="1:4" ht="15.5">
      <c r="A49" s="70" t="str">
        <f>'CAPA LICITAÇÃO'!A37</f>
        <v>Responsável Técnico pela Elaboração da planilha e preços</v>
      </c>
      <c r="B49" s="70"/>
      <c r="C49" s="70"/>
      <c r="D49" s="70"/>
    </row>
    <row r="50" spans="1:4" ht="15.5">
      <c r="A50" s="70" t="str">
        <f>'CAPA LICITAÇÃO'!A38</f>
        <v>FORMAÇÃO E Nº DO REGISTRO EM CONSELHO</v>
      </c>
      <c r="B50" s="70"/>
      <c r="C50" s="70"/>
      <c r="D50" s="70"/>
    </row>
    <row r="51" spans="1:4" ht="15.5">
      <c r="A51" s="70" t="str">
        <f>'CAPA LICITAÇÃO'!A39</f>
        <v>NOME DA EMPRESA</v>
      </c>
      <c r="B51" s="70"/>
      <c r="C51" s="70"/>
      <c r="D51" s="70"/>
    </row>
    <row r="195" customFormat="1" ht="15.75" customHeight="1"/>
    <row r="201" customFormat="1" ht="48" customHeight="1"/>
    <row r="311" customFormat="1" ht="37.5" customHeight="1"/>
    <row r="362" customFormat="1" ht="38.25" customHeight="1"/>
    <row r="413" customFormat="1" ht="30" customHeight="1"/>
  </sheetData>
  <sheetProtection algorithmName="SHA-512" hashValue="M2oGG3HAaecMf96Y9kYiYQ1DSMTIj2JAGshlHakrUfoydumqm8Vx7T1qNlsJL+qRVQHbmsdtTWazxHhDE4UIWw==" saltValue="LRR6ITXURr8prJYJ8JQY9Q==" spinCount="100000" sheet="1" objects="1" scenarios="1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4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317D-B3E5-423F-9D61-0D47DCC2B8E5}">
  <dimension ref="A1:H417"/>
  <sheetViews>
    <sheetView showGridLines="0" view="pageBreakPreview" zoomScaleNormal="85" zoomScaleSheetLayoutView="100" workbookViewId="0">
      <selection activeCell="K63" sqref="K63"/>
    </sheetView>
  </sheetViews>
  <sheetFormatPr defaultRowHeight="14.5"/>
  <cols>
    <col min="1" max="1" width="4.81640625" style="7" customWidth="1"/>
    <col min="2" max="2" width="49.26953125" style="8" customWidth="1"/>
    <col min="3" max="3" width="50.54296875" style="9" customWidth="1"/>
    <col min="4" max="4" width="4.81640625" style="10" customWidth="1"/>
    <col min="5" max="5" width="12.54296875" style="1" customWidth="1"/>
    <col min="6" max="6" width="16.90625" style="1" bestFit="1" customWidth="1"/>
    <col min="7" max="7" width="11.81640625" style="1" customWidth="1"/>
    <col min="8" max="8" width="22.36328125" style="1" bestFit="1" customWidth="1"/>
    <col min="9" max="9" width="16.6328125" customWidth="1"/>
    <col min="12" max="12" width="37.54296875" customWidth="1"/>
    <col min="14" max="14" width="13.26953125" customWidth="1"/>
    <col min="16" max="16" width="21.36328125" customWidth="1"/>
    <col min="19" max="19" width="13.7265625" customWidth="1"/>
  </cols>
  <sheetData>
    <row r="1" spans="1:8" ht="36.75" customHeight="1"/>
    <row r="2" spans="1:8" ht="18.75" customHeight="1">
      <c r="B2" s="174"/>
      <c r="C2" s="174"/>
    </row>
    <row r="3" spans="1:8" ht="15.75" customHeight="1">
      <c r="B3" s="174"/>
      <c r="C3" s="174"/>
    </row>
    <row r="4" spans="1:8" ht="15.5">
      <c r="B4" s="174"/>
      <c r="C4" s="174"/>
    </row>
    <row r="5" spans="1:8" ht="15" customHeight="1">
      <c r="B5" s="174"/>
      <c r="C5" s="174"/>
      <c r="D5" s="11"/>
      <c r="E5" s="2"/>
      <c r="F5" s="2"/>
      <c r="G5" s="2"/>
      <c r="H5" s="2"/>
    </row>
    <row r="6" spans="1:8" ht="15" customHeight="1">
      <c r="D6" s="11"/>
      <c r="E6" s="2"/>
      <c r="F6" s="2"/>
      <c r="G6" s="2"/>
      <c r="H6" s="2"/>
    </row>
    <row r="7" spans="1:8" ht="15.5">
      <c r="B7" s="3"/>
      <c r="C7" s="3"/>
      <c r="D7" s="3"/>
      <c r="E7" s="3"/>
      <c r="F7" s="3"/>
      <c r="G7" s="3"/>
      <c r="H7" s="3"/>
    </row>
    <row r="8" spans="1:8" s="4" customFormat="1">
      <c r="A8" s="12"/>
      <c r="B8" s="8"/>
      <c r="C8" s="8"/>
      <c r="D8" s="10"/>
      <c r="E8" s="1"/>
      <c r="F8" s="1"/>
      <c r="G8" s="1"/>
      <c r="H8" s="1"/>
    </row>
    <row r="9" spans="1:8" s="4" customFormat="1" ht="15.5">
      <c r="A9" s="12"/>
      <c r="D9" s="10"/>
      <c r="E9" s="1"/>
      <c r="F9" s="3"/>
      <c r="G9" s="1"/>
      <c r="H9" s="1"/>
    </row>
    <row r="10" spans="1:8" s="4" customFormat="1" ht="32.5">
      <c r="A10" s="12"/>
      <c r="B10" s="13"/>
      <c r="C10" s="13"/>
      <c r="D10" s="10"/>
      <c r="E10" s="1"/>
      <c r="F10" s="1"/>
      <c r="G10" s="1"/>
      <c r="H10" s="1"/>
    </row>
    <row r="11" spans="1:8" s="4" customFormat="1" ht="33" customHeight="1">
      <c r="A11" s="12"/>
      <c r="B11" s="17"/>
      <c r="C11" s="16"/>
      <c r="D11" s="14"/>
      <c r="E11" s="5"/>
      <c r="F11" s="3"/>
      <c r="G11" s="5"/>
      <c r="H11" s="5"/>
    </row>
    <row r="12" spans="1:8" s="4" customFormat="1" ht="24" customHeight="1">
      <c r="A12" s="12"/>
      <c r="B12" s="17"/>
      <c r="C12" s="16"/>
      <c r="D12" s="14"/>
      <c r="E12" s="5"/>
      <c r="F12" s="5"/>
      <c r="G12" s="5"/>
      <c r="H12" s="5"/>
    </row>
    <row r="13" spans="1:8" s="4" customFormat="1" ht="24" customHeight="1">
      <c r="A13" s="12"/>
      <c r="B13" s="17"/>
      <c r="C13" s="16"/>
      <c r="D13" s="14"/>
      <c r="E13" s="5"/>
      <c r="F13" s="3"/>
      <c r="G13" s="5"/>
      <c r="H13" s="5"/>
    </row>
    <row r="14" spans="1:8" s="4" customFormat="1" ht="47.25" customHeight="1">
      <c r="A14" s="12"/>
      <c r="B14" s="17"/>
      <c r="C14" s="16"/>
      <c r="D14" s="11"/>
      <c r="E14" s="2"/>
      <c r="F14" s="2"/>
      <c r="G14" s="2"/>
      <c r="H14" s="2"/>
    </row>
    <row r="15" spans="1:8" ht="20.149999999999999" customHeight="1">
      <c r="B15" s="17"/>
      <c r="C15" s="16"/>
      <c r="D15" s="11"/>
      <c r="E15" s="2"/>
      <c r="F15" s="2"/>
      <c r="G15" s="2"/>
      <c r="H15" s="2"/>
    </row>
    <row r="16" spans="1:8" ht="31.5" customHeight="1">
      <c r="D16" s="14"/>
      <c r="E16" s="5"/>
      <c r="F16" s="5"/>
      <c r="G16" s="5"/>
      <c r="H16" s="5"/>
    </row>
    <row r="17" spans="2:8" ht="26.25" customHeight="1">
      <c r="B17" s="17"/>
      <c r="C17" s="16"/>
      <c r="D17" s="11"/>
      <c r="E17" s="2"/>
      <c r="F17" s="2"/>
      <c r="G17" s="2"/>
      <c r="H17" s="2"/>
    </row>
    <row r="18" spans="2:8" ht="31.5" customHeight="1">
      <c r="B18" s="31"/>
      <c r="C18" s="32"/>
      <c r="D18" s="14"/>
      <c r="E18" s="5"/>
      <c r="F18" s="5"/>
      <c r="G18" s="5"/>
      <c r="H18" s="5"/>
    </row>
    <row r="19" spans="2:8" ht="20">
      <c r="B19" s="17"/>
      <c r="C19" s="32"/>
      <c r="D19" s="33"/>
      <c r="E19" s="6"/>
      <c r="F19" s="6"/>
      <c r="G19" s="6"/>
      <c r="H19" s="6"/>
    </row>
    <row r="20" spans="2:8" ht="37.5" customHeight="1">
      <c r="B20" s="175" t="s">
        <v>1217</v>
      </c>
      <c r="C20" s="176"/>
      <c r="D20" s="11"/>
      <c r="E20" s="2"/>
      <c r="F20" s="2"/>
      <c r="G20" s="2"/>
      <c r="H20" s="2"/>
    </row>
    <row r="21" spans="2:8" ht="15" customHeight="1">
      <c r="B21" s="175"/>
      <c r="C21" s="176"/>
      <c r="D21" s="11"/>
      <c r="E21" s="2"/>
      <c r="F21" s="2"/>
      <c r="G21" s="2"/>
      <c r="H21" s="2"/>
    </row>
    <row r="22" spans="2:8" ht="21" customHeight="1">
      <c r="B22" s="175"/>
      <c r="C22" s="175"/>
      <c r="D22" s="11"/>
      <c r="E22" s="2"/>
      <c r="F22" s="2"/>
      <c r="G22" s="2"/>
      <c r="H22" s="2"/>
    </row>
    <row r="23" spans="2:8" ht="27" customHeight="1">
      <c r="B23" s="17"/>
      <c r="C23" s="16"/>
      <c r="D23" s="11"/>
      <c r="E23" s="2"/>
      <c r="F23" s="2"/>
      <c r="G23" s="2"/>
      <c r="H23" s="2"/>
    </row>
    <row r="24" spans="2:8" ht="21" customHeight="1">
      <c r="B24" s="17"/>
      <c r="C24" s="16"/>
      <c r="D24" s="11"/>
      <c r="E24" s="2"/>
      <c r="F24" s="2"/>
      <c r="G24" s="2"/>
      <c r="H24" s="2"/>
    </row>
    <row r="25" spans="2:8" ht="21" customHeight="1">
      <c r="B25" s="17"/>
      <c r="C25" s="17"/>
    </row>
    <row r="26" spans="2:8" ht="27" customHeight="1">
      <c r="B26" s="17"/>
      <c r="C26" s="17"/>
    </row>
    <row r="27" spans="2:8" ht="27" customHeight="1">
      <c r="B27" s="17"/>
      <c r="C27" s="16"/>
    </row>
    <row r="28" spans="2:8" ht="27" customHeight="1">
      <c r="B28" s="17"/>
      <c r="C28" s="16"/>
    </row>
    <row r="29" spans="2:8" ht="27" customHeight="1">
      <c r="B29" s="17"/>
      <c r="C29" s="16"/>
    </row>
    <row r="30" spans="2:8" ht="27" customHeight="1">
      <c r="B30" s="17"/>
      <c r="C30" s="16"/>
    </row>
    <row r="31" spans="2:8" ht="27" customHeight="1">
      <c r="B31" s="15"/>
      <c r="C31" s="16"/>
    </row>
    <row r="36" spans="1:4">
      <c r="A36" s="151"/>
      <c r="B36" s="151"/>
      <c r="C36" s="151"/>
      <c r="D36" s="151"/>
    </row>
    <row r="37" spans="1:4" ht="15.5">
      <c r="A37" s="152"/>
      <c r="B37" s="152"/>
      <c r="C37" s="152"/>
      <c r="D37" s="152"/>
    </row>
    <row r="38" spans="1:4" ht="15.5">
      <c r="A38" s="152"/>
      <c r="B38" s="152"/>
      <c r="C38" s="152"/>
      <c r="D38" s="152"/>
    </row>
    <row r="39" spans="1:4" ht="15.5">
      <c r="A39" s="152"/>
      <c r="B39" s="152"/>
      <c r="C39" s="152"/>
      <c r="D39" s="152"/>
    </row>
    <row r="40" spans="1:4" ht="15.5">
      <c r="A40" s="152"/>
      <c r="B40" s="152"/>
      <c r="C40" s="152"/>
      <c r="D40" s="152"/>
    </row>
    <row r="199" ht="15.75" customHeight="1"/>
    <row r="205" ht="48" customHeight="1"/>
    <row r="315" ht="37.5" customHeight="1"/>
    <row r="366" ht="38.25" customHeight="1"/>
    <row r="417" ht="30" customHeight="1"/>
  </sheetData>
  <sheetProtection algorithmName="SHA-512" hashValue="5ALyG138xo0bkzckFSKPawDqFPTOuc8X1MxguqKw7opDLwVP5i+3yBQ2xUr+aRh8Xz0loFKq6ktCs+tSLLN2eA==" saltValue="Ja+8wb+jrjpY3e4yUxbE8w==" spinCount="100000" sheet="1" objects="1" scenarios="1"/>
  <mergeCells count="10">
    <mergeCell ref="B2:C2"/>
    <mergeCell ref="B3:C3"/>
    <mergeCell ref="B4:C4"/>
    <mergeCell ref="B5:C5"/>
    <mergeCell ref="A36:D36"/>
    <mergeCell ref="A37:D37"/>
    <mergeCell ref="A38:D38"/>
    <mergeCell ref="A39:D39"/>
    <mergeCell ref="A40:D40"/>
    <mergeCell ref="B20:C2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127D-160D-4AAB-933E-25D36FC26A1C}">
  <dimension ref="A1:M436"/>
  <sheetViews>
    <sheetView showGridLines="0" view="pageBreakPreview" zoomScaleNormal="100" zoomScaleSheetLayoutView="100" workbookViewId="0">
      <selection activeCell="P8" sqref="P8"/>
    </sheetView>
  </sheetViews>
  <sheetFormatPr defaultRowHeight="14.5"/>
  <cols>
    <col min="1" max="1" width="17.26953125" customWidth="1"/>
    <col min="2" max="2" width="14.1796875" bestFit="1" customWidth="1"/>
    <col min="3" max="3" width="14.36328125" bestFit="1" customWidth="1"/>
    <col min="4" max="4" width="65.453125" bestFit="1" customWidth="1"/>
    <col min="6" max="7" width="14.1796875" bestFit="1" customWidth="1"/>
    <col min="8" max="8" width="14.1796875" customWidth="1"/>
    <col min="9" max="10" width="17.54296875" customWidth="1"/>
    <col min="11" max="11" width="14.1796875" bestFit="1" customWidth="1"/>
    <col min="12" max="12" width="14.453125" customWidth="1"/>
    <col min="13" max="13" width="14.1796875" bestFit="1" customWidth="1"/>
    <col min="14" max="14" width="14.54296875" customWidth="1"/>
  </cols>
  <sheetData>
    <row r="1" spans="1:13" ht="30" customHeight="1">
      <c r="A1" s="42" t="str">
        <f>'CAPA LICITAÇÃO'!B3</f>
        <v>Empresa licitante: PREENCHER SOMENTE AS CÉLULAS EM AMARELO.</v>
      </c>
      <c r="B1" s="125"/>
      <c r="C1" s="97"/>
      <c r="D1" s="126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30" customHeight="1">
      <c r="A2" s="42" t="str">
        <f>'CAPA LICITAÇÃO'!B5</f>
        <v>CNPJ:</v>
      </c>
      <c r="B2" s="125"/>
      <c r="C2" s="97"/>
      <c r="D2" s="98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30" customHeight="1">
      <c r="A3" s="42" t="str">
        <f>'CAPA LICITAÇÃO'!B10</f>
        <v>Objeto: Construção do Galpão do Cesma</v>
      </c>
      <c r="B3" s="42"/>
      <c r="C3" s="18"/>
    </row>
    <row r="4" spans="1:13" ht="30" customHeight="1">
      <c r="A4" s="43" t="s">
        <v>1219</v>
      </c>
      <c r="B4" s="127">
        <f>BDI!$F$3</f>
        <v>0.2094</v>
      </c>
      <c r="C4" s="97"/>
      <c r="D4" s="98"/>
      <c r="E4" s="98"/>
      <c r="F4" s="98"/>
      <c r="G4" s="98"/>
      <c r="H4" s="98"/>
    </row>
    <row r="5" spans="1:13" ht="30" customHeight="1">
      <c r="A5" s="43" t="s">
        <v>1218</v>
      </c>
      <c r="B5" s="128">
        <f>BDI!$F$34</f>
        <v>0.15279999999999999</v>
      </c>
      <c r="C5" s="97"/>
      <c r="D5" s="98"/>
      <c r="E5" s="98"/>
      <c r="F5" s="98"/>
      <c r="G5" s="98"/>
      <c r="H5" s="98"/>
      <c r="K5" s="98"/>
    </row>
    <row r="6" spans="1:13" ht="30" customHeight="1">
      <c r="A6" s="43" t="s">
        <v>1220</v>
      </c>
      <c r="B6" s="96">
        <v>0</v>
      </c>
      <c r="C6" s="97"/>
      <c r="D6" s="98"/>
      <c r="E6" s="98"/>
      <c r="F6" s="98"/>
      <c r="G6" s="98"/>
      <c r="H6" s="98"/>
      <c r="K6" s="99" t="str">
        <f>'CAPA LICITAÇÃO'!B28</f>
        <v>Brasília-DF, xx de xxxxxxxxxxx de 202x.</v>
      </c>
      <c r="L6" s="99"/>
      <c r="M6" s="71"/>
    </row>
    <row r="7" spans="1:13" ht="30" customHeight="1">
      <c r="A7" s="43" t="str">
        <f>'CAPA LICITAÇÃO'!B13</f>
        <v>Data-base SINAPI:  07/2025</v>
      </c>
      <c r="B7" s="97"/>
      <c r="C7" s="97"/>
      <c r="D7" s="98"/>
      <c r="E7" s="98"/>
      <c r="F7" s="98"/>
      <c r="G7" s="98"/>
      <c r="H7" s="98"/>
      <c r="K7" s="99"/>
      <c r="L7" s="99"/>
      <c r="M7" s="71"/>
    </row>
    <row r="8" spans="1:13" ht="30" customHeight="1">
      <c r="A8" s="100" t="s">
        <v>23</v>
      </c>
      <c r="B8" s="101" t="s">
        <v>24</v>
      </c>
      <c r="C8" s="100" t="s">
        <v>25</v>
      </c>
      <c r="D8" s="100" t="s">
        <v>26</v>
      </c>
      <c r="E8" s="102" t="s">
        <v>27</v>
      </c>
      <c r="F8" s="101" t="s">
        <v>28</v>
      </c>
      <c r="G8" s="101" t="s">
        <v>1221</v>
      </c>
      <c r="H8" s="101" t="s">
        <v>1223</v>
      </c>
      <c r="I8" s="101" t="s">
        <v>1222</v>
      </c>
      <c r="J8" s="101" t="s">
        <v>1225</v>
      </c>
      <c r="K8" s="101" t="s">
        <v>1224</v>
      </c>
      <c r="L8" s="101" t="s">
        <v>1226</v>
      </c>
      <c r="M8" s="101" t="s">
        <v>29</v>
      </c>
    </row>
    <row r="9" spans="1:13" ht="24" customHeight="1">
      <c r="A9" s="103" t="s">
        <v>5</v>
      </c>
      <c r="B9" s="103" t="s">
        <v>30</v>
      </c>
      <c r="C9" s="103"/>
      <c r="D9" s="103" t="s">
        <v>6</v>
      </c>
      <c r="E9" s="104"/>
      <c r="F9" s="105">
        <v>1</v>
      </c>
      <c r="G9" s="105" t="s">
        <v>31</v>
      </c>
      <c r="H9" s="105"/>
      <c r="I9" s="106">
        <f>K10 + K12 + K18 + K21 + K24 + K29 + K31 + K33</f>
        <v>110637.93999999999</v>
      </c>
      <c r="J9" s="106">
        <f>L10 + L12 + L18 + L21 + L24 + L29 + L31 + L33</f>
        <v>110637.93999999999</v>
      </c>
      <c r="K9" s="106">
        <f t="shared" ref="K9:K72" si="0">TRUNC(F9 * I9,2)</f>
        <v>110637.94</v>
      </c>
      <c r="L9" s="106">
        <f>ROUND((1-$B$6) * K9,2)</f>
        <v>110637.94</v>
      </c>
      <c r="M9" s="107">
        <f>L9 / M428</f>
        <v>4.1786941226687031E-2</v>
      </c>
    </row>
    <row r="10" spans="1:13" ht="24" customHeight="1">
      <c r="A10" s="103" t="s">
        <v>32</v>
      </c>
      <c r="B10" s="103" t="s">
        <v>30</v>
      </c>
      <c r="C10" s="103"/>
      <c r="D10" s="103" t="s">
        <v>34</v>
      </c>
      <c r="E10" s="104"/>
      <c r="F10" s="105">
        <v>1</v>
      </c>
      <c r="G10" s="105" t="s">
        <v>31</v>
      </c>
      <c r="H10" s="105"/>
      <c r="I10" s="106">
        <f>K11</f>
        <v>6127.63</v>
      </c>
      <c r="J10" s="106">
        <f>L11</f>
        <v>6127.63</v>
      </c>
      <c r="K10" s="106">
        <f t="shared" si="0"/>
        <v>6127.63</v>
      </c>
      <c r="L10" s="106">
        <f t="shared" ref="L10:L73" si="1">ROUND((1-$B$6) * K10,2)</f>
        <v>6127.63</v>
      </c>
      <c r="M10" s="107">
        <f>L10 / M428</f>
        <v>2.3143499840008255E-3</v>
      </c>
    </row>
    <row r="11" spans="1:13" ht="24" customHeight="1">
      <c r="A11" s="108" t="s">
        <v>33</v>
      </c>
      <c r="B11" s="108" t="s">
        <v>444</v>
      </c>
      <c r="C11" s="108" t="s">
        <v>389</v>
      </c>
      <c r="D11" s="108" t="s">
        <v>445</v>
      </c>
      <c r="E11" s="109" t="s">
        <v>36</v>
      </c>
      <c r="F11" s="110">
        <v>1</v>
      </c>
      <c r="G11" s="111">
        <v>5066.67</v>
      </c>
      <c r="H11" s="111">
        <f>ROUND(J11/(1+$B$4),2)</f>
        <v>5066.67</v>
      </c>
      <c r="I11" s="111">
        <f>TRUNC(TRUNC(G11 * B4, 2) + G11, 2)</f>
        <v>6127.63</v>
      </c>
      <c r="J11" s="111">
        <f>TRUNC(L11/F11,4)</f>
        <v>6127.63</v>
      </c>
      <c r="K11" s="111">
        <f t="shared" si="0"/>
        <v>6127.63</v>
      </c>
      <c r="L11" s="111">
        <f t="shared" si="1"/>
        <v>6127.63</v>
      </c>
      <c r="M11" s="112">
        <f>L11 / M428</f>
        <v>2.3143499840008255E-3</v>
      </c>
    </row>
    <row r="12" spans="1:13" ht="24" customHeight="1">
      <c r="A12" s="103" t="s">
        <v>59</v>
      </c>
      <c r="B12" s="103" t="s">
        <v>30</v>
      </c>
      <c r="C12" s="103"/>
      <c r="D12" s="103" t="s">
        <v>37</v>
      </c>
      <c r="E12" s="104"/>
      <c r="F12" s="105">
        <v>1</v>
      </c>
      <c r="G12" s="105" t="s">
        <v>31</v>
      </c>
      <c r="H12" s="105"/>
      <c r="I12" s="106">
        <f>K13 + K14 + K15 + K16 + K17</f>
        <v>52361.599999999999</v>
      </c>
      <c r="J12" s="106">
        <f>L13 + L14 + L15 + L16 + L17</f>
        <v>52361.599999999999</v>
      </c>
      <c r="K12" s="106">
        <f t="shared" si="0"/>
        <v>52361.599999999999</v>
      </c>
      <c r="L12" s="106">
        <f t="shared" si="1"/>
        <v>52361.599999999999</v>
      </c>
      <c r="M12" s="107">
        <f>L12 / M428</f>
        <v>1.9776498927359779E-2</v>
      </c>
    </row>
    <row r="13" spans="1:13" ht="39" customHeight="1">
      <c r="A13" s="108" t="s">
        <v>61</v>
      </c>
      <c r="B13" s="108" t="s">
        <v>38</v>
      </c>
      <c r="C13" s="108" t="s">
        <v>35</v>
      </c>
      <c r="D13" s="108" t="s">
        <v>39</v>
      </c>
      <c r="E13" s="109" t="s">
        <v>40</v>
      </c>
      <c r="F13" s="110">
        <v>12</v>
      </c>
      <c r="G13" s="111">
        <v>1703.12</v>
      </c>
      <c r="H13" s="111">
        <f>ROUND(J13/(1+$B$4),2)</f>
        <v>1703.12</v>
      </c>
      <c r="I13" s="111">
        <f>TRUNC(TRUNC(G13 * B4, 2) + G13, 2)</f>
        <v>2059.75</v>
      </c>
      <c r="J13" s="111">
        <f>TRUNC(L13/F13,4)</f>
        <v>2059.75</v>
      </c>
      <c r="K13" s="111">
        <f t="shared" si="0"/>
        <v>24717</v>
      </c>
      <c r="L13" s="111">
        <f t="shared" si="1"/>
        <v>24717</v>
      </c>
      <c r="M13" s="112">
        <f>L13 / M428</f>
        <v>9.3353855494780844E-3</v>
      </c>
    </row>
    <row r="14" spans="1:13" ht="78" customHeight="1">
      <c r="A14" s="108" t="s">
        <v>446</v>
      </c>
      <c r="B14" s="108" t="s">
        <v>41</v>
      </c>
      <c r="C14" s="108" t="s">
        <v>35</v>
      </c>
      <c r="D14" s="108" t="s">
        <v>42</v>
      </c>
      <c r="E14" s="109" t="s">
        <v>40</v>
      </c>
      <c r="F14" s="110">
        <v>6</v>
      </c>
      <c r="G14" s="111">
        <v>1216.17</v>
      </c>
      <c r="H14" s="111">
        <f>ROUND(J14/(1+$B$4),2)</f>
        <v>1216.17</v>
      </c>
      <c r="I14" s="111">
        <f>TRUNC(TRUNC(G14 * B4, 2) + G14, 2)</f>
        <v>1470.83</v>
      </c>
      <c r="J14" s="111">
        <f>TRUNC(L14/F14,4)</f>
        <v>1470.83</v>
      </c>
      <c r="K14" s="111">
        <f t="shared" si="0"/>
        <v>8824.98</v>
      </c>
      <c r="L14" s="111">
        <f t="shared" si="1"/>
        <v>8824.98</v>
      </c>
      <c r="M14" s="112">
        <f>L14 / M428</f>
        <v>3.333114486646159E-3</v>
      </c>
    </row>
    <row r="15" spans="1:13" ht="24" customHeight="1">
      <c r="A15" s="108" t="s">
        <v>447</v>
      </c>
      <c r="B15" s="108" t="s">
        <v>43</v>
      </c>
      <c r="C15" s="108" t="s">
        <v>35</v>
      </c>
      <c r="D15" s="108" t="s">
        <v>44</v>
      </c>
      <c r="E15" s="109" t="s">
        <v>40</v>
      </c>
      <c r="F15" s="110">
        <v>6</v>
      </c>
      <c r="G15" s="111">
        <v>1171.8699999999999</v>
      </c>
      <c r="H15" s="111">
        <f>ROUND(J15/(1+$B$4),2)</f>
        <v>1171.8599999999999</v>
      </c>
      <c r="I15" s="111">
        <f>TRUNC(TRUNC(G15 * B4, 2) + G15, 2)</f>
        <v>1417.25</v>
      </c>
      <c r="J15" s="111">
        <f>TRUNC(L15/F15,4)</f>
        <v>1417.25</v>
      </c>
      <c r="K15" s="111">
        <f t="shared" si="0"/>
        <v>8503.5</v>
      </c>
      <c r="L15" s="111">
        <f t="shared" si="1"/>
        <v>8503.5</v>
      </c>
      <c r="M15" s="112">
        <f>L15 / M428</f>
        <v>3.2116944216525833E-3</v>
      </c>
    </row>
    <row r="16" spans="1:13" ht="24" customHeight="1">
      <c r="A16" s="108" t="s">
        <v>448</v>
      </c>
      <c r="B16" s="108" t="s">
        <v>45</v>
      </c>
      <c r="C16" s="108" t="s">
        <v>35</v>
      </c>
      <c r="D16" s="108" t="s">
        <v>46</v>
      </c>
      <c r="E16" s="109" t="s">
        <v>40</v>
      </c>
      <c r="F16" s="110">
        <v>6</v>
      </c>
      <c r="G16" s="111">
        <v>1171.8699999999999</v>
      </c>
      <c r="H16" s="111">
        <f>ROUND(J16/(1+$B$4),2)</f>
        <v>1171.8599999999999</v>
      </c>
      <c r="I16" s="111">
        <f>TRUNC(TRUNC(G16 * B4, 2) + G16, 2)</f>
        <v>1417.25</v>
      </c>
      <c r="J16" s="111">
        <f>TRUNC(L16/F16,4)</f>
        <v>1417.25</v>
      </c>
      <c r="K16" s="111">
        <f t="shared" si="0"/>
        <v>8503.5</v>
      </c>
      <c r="L16" s="111">
        <f t="shared" si="1"/>
        <v>8503.5</v>
      </c>
      <c r="M16" s="112">
        <f>L16 / M428</f>
        <v>3.2116944216525833E-3</v>
      </c>
    </row>
    <row r="17" spans="1:13" ht="39" customHeight="1">
      <c r="A17" s="108" t="s">
        <v>449</v>
      </c>
      <c r="B17" s="108" t="s">
        <v>47</v>
      </c>
      <c r="C17" s="108" t="s">
        <v>48</v>
      </c>
      <c r="D17" s="108" t="s">
        <v>450</v>
      </c>
      <c r="E17" s="109" t="s">
        <v>49</v>
      </c>
      <c r="F17" s="110">
        <v>61.78</v>
      </c>
      <c r="G17" s="111">
        <v>24.26</v>
      </c>
      <c r="H17" s="111">
        <f>ROUND(J17/(1+$B$4),2)</f>
        <v>24.26</v>
      </c>
      <c r="I17" s="111">
        <f>TRUNC(TRUNC(G17 * B4, 2) + G17, 2)</f>
        <v>29.34</v>
      </c>
      <c r="J17" s="111">
        <f>TRUNC(L17/F17,4)</f>
        <v>29.3399</v>
      </c>
      <c r="K17" s="111">
        <f t="shared" si="0"/>
        <v>1812.62</v>
      </c>
      <c r="L17" s="111">
        <f t="shared" si="1"/>
        <v>1812.62</v>
      </c>
      <c r="M17" s="112">
        <f>L17 / M428</f>
        <v>6.8461004793037039E-4</v>
      </c>
    </row>
    <row r="18" spans="1:13" ht="24" customHeight="1">
      <c r="A18" s="103" t="s">
        <v>451</v>
      </c>
      <c r="B18" s="103" t="s">
        <v>30</v>
      </c>
      <c r="C18" s="103"/>
      <c r="D18" s="103" t="s">
        <v>50</v>
      </c>
      <c r="E18" s="104"/>
      <c r="F18" s="105">
        <v>1</v>
      </c>
      <c r="G18" s="105" t="s">
        <v>31</v>
      </c>
      <c r="H18" s="105"/>
      <c r="I18" s="106">
        <f>K19 + K20</f>
        <v>6057.92</v>
      </c>
      <c r="J18" s="106">
        <f>L19 + L20</f>
        <v>6057.92</v>
      </c>
      <c r="K18" s="106">
        <f t="shared" si="0"/>
        <v>6057.92</v>
      </c>
      <c r="L18" s="106">
        <f t="shared" si="1"/>
        <v>6057.92</v>
      </c>
      <c r="M18" s="107">
        <f>L18 / M428</f>
        <v>2.2880211525627822E-3</v>
      </c>
    </row>
    <row r="19" spans="1:13" ht="39" customHeight="1">
      <c r="A19" s="108" t="s">
        <v>452</v>
      </c>
      <c r="B19" s="108" t="s">
        <v>53</v>
      </c>
      <c r="C19" s="108" t="s">
        <v>35</v>
      </c>
      <c r="D19" s="108" t="s">
        <v>54</v>
      </c>
      <c r="E19" s="109" t="s">
        <v>36</v>
      </c>
      <c r="F19" s="110">
        <v>1</v>
      </c>
      <c r="G19" s="111">
        <v>2218.86</v>
      </c>
      <c r="H19" s="111">
        <f>ROUND(J19/(1+$B$4),2)</f>
        <v>2218.85</v>
      </c>
      <c r="I19" s="111">
        <f>TRUNC(TRUNC(G19 * B4, 2) + G19, 2)</f>
        <v>2683.48</v>
      </c>
      <c r="J19" s="111">
        <f>TRUNC(L19/F19,4)</f>
        <v>2683.48</v>
      </c>
      <c r="K19" s="111">
        <f t="shared" si="0"/>
        <v>2683.48</v>
      </c>
      <c r="L19" s="111">
        <f t="shared" si="1"/>
        <v>2683.48</v>
      </c>
      <c r="M19" s="112">
        <f>L19 / M428</f>
        <v>1.0135259301012845E-3</v>
      </c>
    </row>
    <row r="20" spans="1:13" ht="39" customHeight="1">
      <c r="A20" s="108" t="s">
        <v>453</v>
      </c>
      <c r="B20" s="108" t="s">
        <v>51</v>
      </c>
      <c r="C20" s="108" t="s">
        <v>35</v>
      </c>
      <c r="D20" s="108" t="s">
        <v>52</v>
      </c>
      <c r="E20" s="109" t="s">
        <v>36</v>
      </c>
      <c r="F20" s="110">
        <v>1</v>
      </c>
      <c r="G20" s="111">
        <v>2790.18</v>
      </c>
      <c r="H20" s="111">
        <f>ROUND(J20/(1+$B$4),2)</f>
        <v>2790.18</v>
      </c>
      <c r="I20" s="111">
        <f>TRUNC(TRUNC(G20 * B4, 2) + G20, 2)</f>
        <v>3374.44</v>
      </c>
      <c r="J20" s="111">
        <f>TRUNC(L20/F20,4)</f>
        <v>3374.44</v>
      </c>
      <c r="K20" s="111">
        <f t="shared" si="0"/>
        <v>3374.44</v>
      </c>
      <c r="L20" s="111">
        <f t="shared" si="1"/>
        <v>3374.44</v>
      </c>
      <c r="M20" s="112">
        <f>L20 / M428</f>
        <v>1.2744952224614974E-3</v>
      </c>
    </row>
    <row r="21" spans="1:13" ht="24" customHeight="1">
      <c r="A21" s="103" t="s">
        <v>454</v>
      </c>
      <c r="B21" s="103" t="s">
        <v>30</v>
      </c>
      <c r="C21" s="103"/>
      <c r="D21" s="103" t="s">
        <v>55</v>
      </c>
      <c r="E21" s="104"/>
      <c r="F21" s="105">
        <v>1</v>
      </c>
      <c r="G21" s="105" t="s">
        <v>31</v>
      </c>
      <c r="H21" s="105"/>
      <c r="I21" s="106">
        <f>K22 + K23</f>
        <v>20785.48</v>
      </c>
      <c r="J21" s="106">
        <f>L22 + L23</f>
        <v>20785.48</v>
      </c>
      <c r="K21" s="106">
        <f t="shared" si="0"/>
        <v>20785.48</v>
      </c>
      <c r="L21" s="106">
        <f t="shared" si="1"/>
        <v>20785.48</v>
      </c>
      <c r="M21" s="107">
        <f>L21 / M428</f>
        <v>7.850486290041904E-3</v>
      </c>
    </row>
    <row r="22" spans="1:13" ht="24" customHeight="1">
      <c r="A22" s="108" t="s">
        <v>455</v>
      </c>
      <c r="B22" s="108" t="s">
        <v>56</v>
      </c>
      <c r="C22" s="108" t="s">
        <v>48</v>
      </c>
      <c r="D22" s="108" t="s">
        <v>456</v>
      </c>
      <c r="E22" s="109" t="s">
        <v>49</v>
      </c>
      <c r="F22" s="110">
        <v>170.66</v>
      </c>
      <c r="G22" s="111">
        <v>92.86</v>
      </c>
      <c r="H22" s="111">
        <f>ROUND(J22/(1+$B$4),2)</f>
        <v>92.86</v>
      </c>
      <c r="I22" s="111">
        <f>TRUNC(TRUNC(G22 * B4, 2) + G22, 2)</f>
        <v>112.3</v>
      </c>
      <c r="J22" s="111">
        <f>TRUNC(L22/F22,4)</f>
        <v>112.29989999999999</v>
      </c>
      <c r="K22" s="111">
        <f t="shared" si="0"/>
        <v>19165.11</v>
      </c>
      <c r="L22" s="111">
        <f t="shared" si="1"/>
        <v>19165.11</v>
      </c>
      <c r="M22" s="112">
        <f>L22 / M428</f>
        <v>7.238487314324471E-3</v>
      </c>
    </row>
    <row r="23" spans="1:13" ht="39" customHeight="1">
      <c r="A23" s="108" t="s">
        <v>457</v>
      </c>
      <c r="B23" s="108" t="s">
        <v>57</v>
      </c>
      <c r="C23" s="108" t="s">
        <v>48</v>
      </c>
      <c r="D23" s="108" t="s">
        <v>58</v>
      </c>
      <c r="E23" s="109" t="s">
        <v>49</v>
      </c>
      <c r="F23" s="110">
        <v>2.88</v>
      </c>
      <c r="G23" s="111">
        <v>465.22</v>
      </c>
      <c r="H23" s="111">
        <f>ROUND(J23/(1+$B$4),2)</f>
        <v>465.21</v>
      </c>
      <c r="I23" s="111">
        <f>TRUNC(TRUNC(G23 * B4, 2) + G23, 2)</f>
        <v>562.63</v>
      </c>
      <c r="J23" s="111">
        <f>TRUNC(L23/F23,4)</f>
        <v>562.62840000000006</v>
      </c>
      <c r="K23" s="111">
        <f t="shared" si="0"/>
        <v>1620.37</v>
      </c>
      <c r="L23" s="111">
        <f t="shared" si="1"/>
        <v>1620.37</v>
      </c>
      <c r="M23" s="112">
        <f>L23 / M428</f>
        <v>6.1199897571743349E-4</v>
      </c>
    </row>
    <row r="24" spans="1:13" ht="24" customHeight="1">
      <c r="A24" s="103" t="s">
        <v>458</v>
      </c>
      <c r="B24" s="103" t="s">
        <v>30</v>
      </c>
      <c r="C24" s="103"/>
      <c r="D24" s="103" t="s">
        <v>459</v>
      </c>
      <c r="E24" s="104"/>
      <c r="F24" s="105">
        <v>1</v>
      </c>
      <c r="G24" s="105" t="s">
        <v>31</v>
      </c>
      <c r="H24" s="105"/>
      <c r="I24" s="106">
        <f>K25 + K26 + K27 + K28</f>
        <v>3033.85</v>
      </c>
      <c r="J24" s="106">
        <f>L25 + L26 + L27 + L28</f>
        <v>3033.85</v>
      </c>
      <c r="K24" s="106">
        <f t="shared" si="0"/>
        <v>3033.85</v>
      </c>
      <c r="L24" s="106">
        <f t="shared" si="1"/>
        <v>3033.85</v>
      </c>
      <c r="M24" s="107">
        <f>L24 / M428</f>
        <v>1.1458574846981465E-3</v>
      </c>
    </row>
    <row r="25" spans="1:13" ht="39" customHeight="1">
      <c r="A25" s="108" t="s">
        <v>460</v>
      </c>
      <c r="B25" s="108" t="s">
        <v>461</v>
      </c>
      <c r="C25" s="108" t="s">
        <v>48</v>
      </c>
      <c r="D25" s="108" t="s">
        <v>462</v>
      </c>
      <c r="E25" s="109" t="s">
        <v>70</v>
      </c>
      <c r="F25" s="110">
        <v>2.76</v>
      </c>
      <c r="G25" s="111">
        <v>50.44</v>
      </c>
      <c r="H25" s="111">
        <f>ROUND(J25/(1+$B$4),2)</f>
        <v>50.44</v>
      </c>
      <c r="I25" s="111">
        <f>TRUNC(TRUNC(G25 * B4, 2) + G25, 2)</f>
        <v>61</v>
      </c>
      <c r="J25" s="111">
        <f>TRUNC(L25/F25,4)</f>
        <v>61</v>
      </c>
      <c r="K25" s="111">
        <f t="shared" si="0"/>
        <v>168.36</v>
      </c>
      <c r="L25" s="111">
        <f t="shared" si="1"/>
        <v>168.36</v>
      </c>
      <c r="M25" s="112">
        <f>L25 / M428</f>
        <v>6.3588037023511374E-5</v>
      </c>
    </row>
    <row r="26" spans="1:13" ht="39" customHeight="1">
      <c r="A26" s="108" t="s">
        <v>463</v>
      </c>
      <c r="B26" s="108" t="s">
        <v>464</v>
      </c>
      <c r="C26" s="108" t="s">
        <v>48</v>
      </c>
      <c r="D26" s="108" t="s">
        <v>465</v>
      </c>
      <c r="E26" s="109" t="s">
        <v>70</v>
      </c>
      <c r="F26" s="110">
        <v>4.8</v>
      </c>
      <c r="G26" s="111">
        <v>95.45</v>
      </c>
      <c r="H26" s="111">
        <f>ROUND(J26/(1+$B$4),2)</f>
        <v>95.44</v>
      </c>
      <c r="I26" s="111">
        <f>TRUNC(TRUNC(G26 * B4, 2) + G26, 2)</f>
        <v>115.43</v>
      </c>
      <c r="J26" s="111">
        <f>TRUNC(L26/F26,4)</f>
        <v>115.42910000000001</v>
      </c>
      <c r="K26" s="111">
        <f t="shared" si="0"/>
        <v>554.05999999999995</v>
      </c>
      <c r="L26" s="111">
        <f t="shared" si="1"/>
        <v>554.05999999999995</v>
      </c>
      <c r="M26" s="112">
        <f>L26 / M428</f>
        <v>2.0926341050871172E-4</v>
      </c>
    </row>
    <row r="27" spans="1:13" ht="24" customHeight="1">
      <c r="A27" s="108" t="s">
        <v>466</v>
      </c>
      <c r="B27" s="108" t="s">
        <v>467</v>
      </c>
      <c r="C27" s="108" t="s">
        <v>35</v>
      </c>
      <c r="D27" s="108" t="s">
        <v>468</v>
      </c>
      <c r="E27" s="109" t="s">
        <v>239</v>
      </c>
      <c r="F27" s="110">
        <v>1</v>
      </c>
      <c r="G27" s="111">
        <v>1649.56</v>
      </c>
      <c r="H27" s="111">
        <f>ROUND(J27/(1+$B$4),2)</f>
        <v>1649.55</v>
      </c>
      <c r="I27" s="111">
        <f>TRUNC(TRUNC(G27 * B4, 2) + G27, 2)</f>
        <v>1994.97</v>
      </c>
      <c r="J27" s="111">
        <f>TRUNC(L27/F27,4)</f>
        <v>1994.97</v>
      </c>
      <c r="K27" s="111">
        <f t="shared" si="0"/>
        <v>1994.97</v>
      </c>
      <c r="L27" s="111">
        <f t="shared" si="1"/>
        <v>1994.97</v>
      </c>
      <c r="M27" s="112">
        <f>L27 / M428</f>
        <v>7.5348198040386353E-4</v>
      </c>
    </row>
    <row r="28" spans="1:13" ht="39" customHeight="1">
      <c r="A28" s="108" t="s">
        <v>469</v>
      </c>
      <c r="B28" s="108" t="s">
        <v>90</v>
      </c>
      <c r="C28" s="108" t="s">
        <v>48</v>
      </c>
      <c r="D28" s="108" t="s">
        <v>91</v>
      </c>
      <c r="E28" s="109" t="s">
        <v>87</v>
      </c>
      <c r="F28" s="110">
        <v>138.80000000000001</v>
      </c>
      <c r="G28" s="111">
        <v>1.89</v>
      </c>
      <c r="H28" s="111">
        <f>ROUND(J28/(1+$B$4),2)</f>
        <v>1.89</v>
      </c>
      <c r="I28" s="111">
        <f>TRUNC(TRUNC(G28 * B4, 2) + G28, 2)</f>
        <v>2.2799999999999998</v>
      </c>
      <c r="J28" s="111">
        <f>TRUNC(L28/F28,4)</f>
        <v>2.2799</v>
      </c>
      <c r="K28" s="111">
        <f t="shared" si="0"/>
        <v>316.45999999999998</v>
      </c>
      <c r="L28" s="111">
        <f t="shared" si="1"/>
        <v>316.45999999999998</v>
      </c>
      <c r="M28" s="112">
        <f>L28 / M428</f>
        <v>1.195240567620599E-4</v>
      </c>
    </row>
    <row r="29" spans="1:13" ht="24" customHeight="1">
      <c r="A29" s="103" t="s">
        <v>470</v>
      </c>
      <c r="B29" s="103" t="s">
        <v>30</v>
      </c>
      <c r="C29" s="103"/>
      <c r="D29" s="103" t="s">
        <v>60</v>
      </c>
      <c r="E29" s="104"/>
      <c r="F29" s="105">
        <v>1</v>
      </c>
      <c r="G29" s="105" t="s">
        <v>31</v>
      </c>
      <c r="H29" s="105"/>
      <c r="I29" s="106">
        <f>K30</f>
        <v>10693.12</v>
      </c>
      <c r="J29" s="106">
        <f>L30</f>
        <v>10693.12</v>
      </c>
      <c r="K29" s="106">
        <f t="shared" si="0"/>
        <v>10693.12</v>
      </c>
      <c r="L29" s="106">
        <f t="shared" si="1"/>
        <v>10693.12</v>
      </c>
      <c r="M29" s="107">
        <f>L29 / M428</f>
        <v>4.0386939323880369E-3</v>
      </c>
    </row>
    <row r="30" spans="1:13" ht="39" customHeight="1">
      <c r="A30" s="108" t="s">
        <v>471</v>
      </c>
      <c r="B30" s="108" t="s">
        <v>62</v>
      </c>
      <c r="C30" s="108" t="s">
        <v>48</v>
      </c>
      <c r="D30" s="108" t="s">
        <v>472</v>
      </c>
      <c r="E30" s="109" t="s">
        <v>63</v>
      </c>
      <c r="F30" s="110">
        <v>128</v>
      </c>
      <c r="G30" s="111">
        <v>69.08</v>
      </c>
      <c r="H30" s="111">
        <f>ROUND(J30/(1+$B$4),2)</f>
        <v>69.08</v>
      </c>
      <c r="I30" s="111">
        <f>TRUNC(TRUNC(G30 * B4, 2) + G30, 2)</f>
        <v>83.54</v>
      </c>
      <c r="J30" s="111">
        <f>TRUNC(L30/F30,4)</f>
        <v>83.54</v>
      </c>
      <c r="K30" s="111">
        <f t="shared" si="0"/>
        <v>10693.12</v>
      </c>
      <c r="L30" s="111">
        <f t="shared" si="1"/>
        <v>10693.12</v>
      </c>
      <c r="M30" s="112">
        <f>L30 / M428</f>
        <v>4.0386939323880369E-3</v>
      </c>
    </row>
    <row r="31" spans="1:13" ht="24" customHeight="1">
      <c r="A31" s="103" t="s">
        <v>473</v>
      </c>
      <c r="B31" s="103" t="s">
        <v>30</v>
      </c>
      <c r="C31" s="103"/>
      <c r="D31" s="103" t="s">
        <v>474</v>
      </c>
      <c r="E31" s="104"/>
      <c r="F31" s="105">
        <v>1</v>
      </c>
      <c r="G31" s="105" t="s">
        <v>31</v>
      </c>
      <c r="H31" s="105"/>
      <c r="I31" s="106">
        <f>K32</f>
        <v>2105.98</v>
      </c>
      <c r="J31" s="106">
        <f>L32</f>
        <v>2105.98</v>
      </c>
      <c r="K31" s="106">
        <f t="shared" si="0"/>
        <v>2105.98</v>
      </c>
      <c r="L31" s="106">
        <f t="shared" si="1"/>
        <v>2105.98</v>
      </c>
      <c r="M31" s="107">
        <f>L31 / M428</f>
        <v>7.9540944530039483E-4</v>
      </c>
    </row>
    <row r="32" spans="1:13" ht="39" customHeight="1">
      <c r="A32" s="108" t="s">
        <v>475</v>
      </c>
      <c r="B32" s="108" t="s">
        <v>66</v>
      </c>
      <c r="C32" s="108" t="s">
        <v>48</v>
      </c>
      <c r="D32" s="108" t="s">
        <v>476</v>
      </c>
      <c r="E32" s="109" t="s">
        <v>49</v>
      </c>
      <c r="F32" s="110">
        <v>2599.98</v>
      </c>
      <c r="G32" s="111">
        <v>0.67</v>
      </c>
      <c r="H32" s="111">
        <f>ROUND(J32/(1+$B$4),2)</f>
        <v>0.67</v>
      </c>
      <c r="I32" s="111">
        <f>TRUNC(TRUNC(G32 * B4, 2) + G32, 2)</f>
        <v>0.81</v>
      </c>
      <c r="J32" s="111">
        <f>TRUNC(L32/F32,4)</f>
        <v>0.80989999999999995</v>
      </c>
      <c r="K32" s="111">
        <f t="shared" si="0"/>
        <v>2105.98</v>
      </c>
      <c r="L32" s="111">
        <f t="shared" si="1"/>
        <v>2105.98</v>
      </c>
      <c r="M32" s="112">
        <f>L32 / M428</f>
        <v>7.9540944530039483E-4</v>
      </c>
    </row>
    <row r="33" spans="1:13" ht="24" customHeight="1">
      <c r="A33" s="103" t="s">
        <v>477</v>
      </c>
      <c r="B33" s="103" t="s">
        <v>30</v>
      </c>
      <c r="C33" s="103"/>
      <c r="D33" s="103" t="s">
        <v>478</v>
      </c>
      <c r="E33" s="104"/>
      <c r="F33" s="105">
        <v>1</v>
      </c>
      <c r="G33" s="105" t="s">
        <v>31</v>
      </c>
      <c r="H33" s="105"/>
      <c r="I33" s="106">
        <f>K34 + K35</f>
        <v>9472.36</v>
      </c>
      <c r="J33" s="106">
        <f>L34 + L35</f>
        <v>9472.36</v>
      </c>
      <c r="K33" s="106">
        <f t="shared" si="0"/>
        <v>9472.36</v>
      </c>
      <c r="L33" s="106">
        <f t="shared" si="1"/>
        <v>9472.36</v>
      </c>
      <c r="M33" s="107">
        <f>L33 / M428</f>
        <v>3.5776240103351634E-3</v>
      </c>
    </row>
    <row r="34" spans="1:13" ht="65" customHeight="1">
      <c r="A34" s="108" t="s">
        <v>479</v>
      </c>
      <c r="B34" s="108" t="s">
        <v>480</v>
      </c>
      <c r="C34" s="108" t="s">
        <v>48</v>
      </c>
      <c r="D34" s="108" t="s">
        <v>481</v>
      </c>
      <c r="E34" s="109" t="s">
        <v>70</v>
      </c>
      <c r="F34" s="110">
        <v>483.29</v>
      </c>
      <c r="G34" s="111">
        <v>6.22</v>
      </c>
      <c r="H34" s="111">
        <f>ROUND(J34/(1+$B$4),2)</f>
        <v>6.22</v>
      </c>
      <c r="I34" s="111">
        <f>TRUNC(TRUNC(G34 * B4, 2) + G34, 2)</f>
        <v>7.52</v>
      </c>
      <c r="J34" s="111">
        <f>TRUNC(L34/F34,4)</f>
        <v>7.5198999999999998</v>
      </c>
      <c r="K34" s="111">
        <f t="shared" si="0"/>
        <v>3634.34</v>
      </c>
      <c r="L34" s="111">
        <f t="shared" si="1"/>
        <v>3634.34</v>
      </c>
      <c r="M34" s="112">
        <f>L34 / M428</f>
        <v>1.3726570828939671E-3</v>
      </c>
    </row>
    <row r="35" spans="1:13" ht="65" customHeight="1">
      <c r="A35" s="108" t="s">
        <v>482</v>
      </c>
      <c r="B35" s="108" t="s">
        <v>483</v>
      </c>
      <c r="C35" s="108" t="s">
        <v>48</v>
      </c>
      <c r="D35" s="108" t="s">
        <v>484</v>
      </c>
      <c r="E35" s="109" t="s">
        <v>70</v>
      </c>
      <c r="F35" s="110">
        <v>241.64</v>
      </c>
      <c r="G35" s="111">
        <v>19.98</v>
      </c>
      <c r="H35" s="111">
        <f>ROUND(J35/(1+$B$4),2)</f>
        <v>19.98</v>
      </c>
      <c r="I35" s="111">
        <f>TRUNC(TRUNC(G35 * B4, 2) + G35, 2)</f>
        <v>24.16</v>
      </c>
      <c r="J35" s="111">
        <f>TRUNC(L35/F35,4)</f>
        <v>24.1599</v>
      </c>
      <c r="K35" s="111">
        <f t="shared" si="0"/>
        <v>5838.02</v>
      </c>
      <c r="L35" s="111">
        <f t="shared" si="1"/>
        <v>5838.02</v>
      </c>
      <c r="M35" s="112">
        <f>L35 / M428</f>
        <v>2.2049669274411964E-3</v>
      </c>
    </row>
    <row r="36" spans="1:13" ht="24" customHeight="1">
      <c r="A36" s="103" t="s">
        <v>7</v>
      </c>
      <c r="B36" s="103" t="s">
        <v>30</v>
      </c>
      <c r="C36" s="103"/>
      <c r="D36" s="103" t="s">
        <v>8</v>
      </c>
      <c r="E36" s="104"/>
      <c r="F36" s="105">
        <v>1</v>
      </c>
      <c r="G36" s="105" t="s">
        <v>31</v>
      </c>
      <c r="H36" s="105"/>
      <c r="I36" s="106">
        <f>K37 + K47 + K58 + K62 + K64</f>
        <v>689377.82000000007</v>
      </c>
      <c r="J36" s="106">
        <f>L37 + L47 + L58 + L62 + L64</f>
        <v>689377.82000000007</v>
      </c>
      <c r="K36" s="106">
        <f t="shared" si="0"/>
        <v>689377.82</v>
      </c>
      <c r="L36" s="106">
        <f t="shared" si="1"/>
        <v>689377.82</v>
      </c>
      <c r="M36" s="107">
        <f>L36 / M428</f>
        <v>0.26037171739930831</v>
      </c>
    </row>
    <row r="37" spans="1:13" ht="24" customHeight="1">
      <c r="A37" s="103" t="s">
        <v>64</v>
      </c>
      <c r="B37" s="103" t="s">
        <v>30</v>
      </c>
      <c r="C37" s="103"/>
      <c r="D37" s="103" t="s">
        <v>485</v>
      </c>
      <c r="E37" s="104"/>
      <c r="F37" s="105">
        <v>1</v>
      </c>
      <c r="G37" s="105" t="s">
        <v>31</v>
      </c>
      <c r="H37" s="105"/>
      <c r="I37" s="106">
        <f>K38 + K40 + K43 + K45</f>
        <v>79520.570000000007</v>
      </c>
      <c r="J37" s="106">
        <f>L38 + L40 + L43 + L45</f>
        <v>79520.570000000007</v>
      </c>
      <c r="K37" s="106">
        <f t="shared" si="0"/>
        <v>79520.570000000007</v>
      </c>
      <c r="L37" s="106">
        <f t="shared" si="1"/>
        <v>79520.570000000007</v>
      </c>
      <c r="M37" s="107">
        <f>L37 / M428</f>
        <v>3.0034194281840863E-2</v>
      </c>
    </row>
    <row r="38" spans="1:13" ht="24" customHeight="1">
      <c r="A38" s="103" t="s">
        <v>65</v>
      </c>
      <c r="B38" s="103" t="s">
        <v>30</v>
      </c>
      <c r="C38" s="103"/>
      <c r="D38" s="103" t="s">
        <v>486</v>
      </c>
      <c r="E38" s="104"/>
      <c r="F38" s="105">
        <v>1</v>
      </c>
      <c r="G38" s="105" t="s">
        <v>31</v>
      </c>
      <c r="H38" s="105"/>
      <c r="I38" s="106">
        <f>K39</f>
        <v>32661.72</v>
      </c>
      <c r="J38" s="106">
        <f>L39</f>
        <v>32661.72</v>
      </c>
      <c r="K38" s="106">
        <f t="shared" si="0"/>
        <v>32661.72</v>
      </c>
      <c r="L38" s="106">
        <f t="shared" si="1"/>
        <v>32661.72</v>
      </c>
      <c r="M38" s="107">
        <f>L38 / M428</f>
        <v>1.2336033859655272E-2</v>
      </c>
    </row>
    <row r="39" spans="1:13" ht="39" customHeight="1">
      <c r="A39" s="108" t="s">
        <v>487</v>
      </c>
      <c r="B39" s="108" t="s">
        <v>488</v>
      </c>
      <c r="C39" s="108" t="s">
        <v>48</v>
      </c>
      <c r="D39" s="108" t="s">
        <v>489</v>
      </c>
      <c r="E39" s="109" t="s">
        <v>70</v>
      </c>
      <c r="F39" s="110">
        <v>2058.08</v>
      </c>
      <c r="G39" s="111">
        <v>13.13</v>
      </c>
      <c r="H39" s="111">
        <f>ROUND(J39/(1+$B$4),2)</f>
        <v>13.12</v>
      </c>
      <c r="I39" s="111">
        <f>TRUNC(TRUNC(G39 * B4, 2) + G39, 2)</f>
        <v>15.87</v>
      </c>
      <c r="J39" s="111">
        <f>TRUNC(L39/F39,4)</f>
        <v>15.869899999999999</v>
      </c>
      <c r="K39" s="111">
        <f t="shared" si="0"/>
        <v>32661.72</v>
      </c>
      <c r="L39" s="111">
        <f t="shared" si="1"/>
        <v>32661.72</v>
      </c>
      <c r="M39" s="112">
        <f>L39 / M428</f>
        <v>1.2336033859655272E-2</v>
      </c>
    </row>
    <row r="40" spans="1:13" ht="24" customHeight="1">
      <c r="A40" s="103" t="s">
        <v>67</v>
      </c>
      <c r="B40" s="103" t="s">
        <v>30</v>
      </c>
      <c r="C40" s="103"/>
      <c r="D40" s="103" t="s">
        <v>490</v>
      </c>
      <c r="E40" s="104"/>
      <c r="F40" s="105">
        <v>1</v>
      </c>
      <c r="G40" s="105" t="s">
        <v>31</v>
      </c>
      <c r="H40" s="105"/>
      <c r="I40" s="106">
        <f>K41 + K42</f>
        <v>4890.1399999999994</v>
      </c>
      <c r="J40" s="106">
        <f>L41 + L42</f>
        <v>4890.1399999999994</v>
      </c>
      <c r="K40" s="106">
        <f t="shared" si="0"/>
        <v>4890.1400000000003</v>
      </c>
      <c r="L40" s="106">
        <f t="shared" si="1"/>
        <v>4890.1400000000003</v>
      </c>
      <c r="M40" s="107">
        <f>L40 / M428</f>
        <v>1.8469612934791748E-3</v>
      </c>
    </row>
    <row r="41" spans="1:13" ht="52" customHeight="1">
      <c r="A41" s="108" t="s">
        <v>491</v>
      </c>
      <c r="B41" s="108" t="s">
        <v>492</v>
      </c>
      <c r="C41" s="108" t="s">
        <v>48</v>
      </c>
      <c r="D41" s="108" t="s">
        <v>493</v>
      </c>
      <c r="E41" s="109" t="s">
        <v>70</v>
      </c>
      <c r="F41" s="110">
        <v>153.19999999999999</v>
      </c>
      <c r="G41" s="111">
        <v>13.82</v>
      </c>
      <c r="H41" s="111">
        <f>ROUND(J41/(1+$B$4),2)</f>
        <v>13.82</v>
      </c>
      <c r="I41" s="111">
        <f>TRUNC(TRUNC(G41 * B4, 2) + G41, 2)</f>
        <v>16.71</v>
      </c>
      <c r="J41" s="111">
        <f>TRUNC(L41/F41,4)</f>
        <v>16.709900000000001</v>
      </c>
      <c r="K41" s="111">
        <f t="shared" si="0"/>
        <v>2559.9699999999998</v>
      </c>
      <c r="L41" s="111">
        <f t="shared" si="1"/>
        <v>2559.9699999999998</v>
      </c>
      <c r="M41" s="112">
        <f>L41 / M428</f>
        <v>9.6687732917010198E-4</v>
      </c>
    </row>
    <row r="42" spans="1:13" ht="39" customHeight="1">
      <c r="A42" s="108" t="s">
        <v>494</v>
      </c>
      <c r="B42" s="108" t="s">
        <v>71</v>
      </c>
      <c r="C42" s="108" t="s">
        <v>48</v>
      </c>
      <c r="D42" s="108" t="s">
        <v>495</v>
      </c>
      <c r="E42" s="109" t="s">
        <v>70</v>
      </c>
      <c r="F42" s="110">
        <v>153.19999999999999</v>
      </c>
      <c r="G42" s="111">
        <v>12.58</v>
      </c>
      <c r="H42" s="111">
        <f>ROUND(J42/(1+$B$4),2)</f>
        <v>12.58</v>
      </c>
      <c r="I42" s="111">
        <f>TRUNC(TRUNC(G42 * B4, 2) + G42, 2)</f>
        <v>15.21</v>
      </c>
      <c r="J42" s="111">
        <f>TRUNC(L42/F42,4)</f>
        <v>15.209899999999999</v>
      </c>
      <c r="K42" s="111">
        <f t="shared" si="0"/>
        <v>2330.17</v>
      </c>
      <c r="L42" s="111">
        <f t="shared" si="1"/>
        <v>2330.17</v>
      </c>
      <c r="M42" s="112">
        <f>L42 / M428</f>
        <v>8.8008396430907273E-4</v>
      </c>
    </row>
    <row r="43" spans="1:13" ht="24" customHeight="1">
      <c r="A43" s="103" t="s">
        <v>68</v>
      </c>
      <c r="B43" s="103" t="s">
        <v>30</v>
      </c>
      <c r="C43" s="103"/>
      <c r="D43" s="103" t="s">
        <v>496</v>
      </c>
      <c r="E43" s="104"/>
      <c r="F43" s="105">
        <v>1</v>
      </c>
      <c r="G43" s="105" t="s">
        <v>31</v>
      </c>
      <c r="H43" s="105"/>
      <c r="I43" s="106">
        <f>K44</f>
        <v>40738.75</v>
      </c>
      <c r="J43" s="106">
        <f>L44</f>
        <v>40738.75</v>
      </c>
      <c r="K43" s="106">
        <f t="shared" si="0"/>
        <v>40738.75</v>
      </c>
      <c r="L43" s="106">
        <f t="shared" si="1"/>
        <v>40738.75</v>
      </c>
      <c r="M43" s="107">
        <f>L43 / M428</f>
        <v>1.5386654450532037E-2</v>
      </c>
    </row>
    <row r="44" spans="1:13" ht="39" customHeight="1">
      <c r="A44" s="108" t="s">
        <v>497</v>
      </c>
      <c r="B44" s="108" t="s">
        <v>498</v>
      </c>
      <c r="C44" s="108" t="s">
        <v>48</v>
      </c>
      <c r="D44" s="108" t="s">
        <v>499</v>
      </c>
      <c r="E44" s="109" t="s">
        <v>97</v>
      </c>
      <c r="F44" s="110">
        <v>26626.639999999999</v>
      </c>
      <c r="G44" s="111">
        <v>1.27</v>
      </c>
      <c r="H44" s="111">
        <f>ROUND(J44/(1+$B$4),2)</f>
        <v>1.27</v>
      </c>
      <c r="I44" s="111">
        <f>TRUNC(TRUNC(G44 * B4, 2) + G44, 2)</f>
        <v>1.53</v>
      </c>
      <c r="J44" s="111">
        <f>TRUNC(L44/F44,4)</f>
        <v>1.5299</v>
      </c>
      <c r="K44" s="111">
        <f t="shared" si="0"/>
        <v>40738.75</v>
      </c>
      <c r="L44" s="111">
        <f t="shared" si="1"/>
        <v>40738.75</v>
      </c>
      <c r="M44" s="112">
        <f>L44 / M428</f>
        <v>1.5386654450532037E-2</v>
      </c>
    </row>
    <row r="45" spans="1:13" ht="24" customHeight="1">
      <c r="A45" s="103" t="s">
        <v>69</v>
      </c>
      <c r="B45" s="103" t="s">
        <v>30</v>
      </c>
      <c r="C45" s="103"/>
      <c r="D45" s="103" t="s">
        <v>500</v>
      </c>
      <c r="E45" s="104"/>
      <c r="F45" s="105">
        <v>1</v>
      </c>
      <c r="G45" s="105" t="s">
        <v>31</v>
      </c>
      <c r="H45" s="105"/>
      <c r="I45" s="106">
        <f>K46</f>
        <v>1229.96</v>
      </c>
      <c r="J45" s="106">
        <f>L46</f>
        <v>1229.96</v>
      </c>
      <c r="K45" s="106">
        <f t="shared" si="0"/>
        <v>1229.96</v>
      </c>
      <c r="L45" s="106">
        <f t="shared" si="1"/>
        <v>1229.96</v>
      </c>
      <c r="M45" s="107">
        <f>L45 / M428</f>
        <v>4.6454467817437658E-4</v>
      </c>
    </row>
    <row r="46" spans="1:13" ht="26" customHeight="1">
      <c r="A46" s="108" t="s">
        <v>501</v>
      </c>
      <c r="B46" s="108" t="s">
        <v>502</v>
      </c>
      <c r="C46" s="108" t="s">
        <v>35</v>
      </c>
      <c r="D46" s="108" t="s">
        <v>503</v>
      </c>
      <c r="E46" s="109" t="s">
        <v>49</v>
      </c>
      <c r="F46" s="110">
        <v>2733.25</v>
      </c>
      <c r="G46" s="111">
        <v>0.38</v>
      </c>
      <c r="H46" s="111">
        <f>ROUND(J46/(1+$B$4),2)</f>
        <v>0.37</v>
      </c>
      <c r="I46" s="111">
        <f>TRUNC(TRUNC(G46 * B4, 2) + G46, 2)</f>
        <v>0.45</v>
      </c>
      <c r="J46" s="111">
        <f>TRUNC(L46/F46,4)</f>
        <v>0.44990000000000002</v>
      </c>
      <c r="K46" s="111">
        <f t="shared" si="0"/>
        <v>1229.96</v>
      </c>
      <c r="L46" s="111">
        <f t="shared" si="1"/>
        <v>1229.96</v>
      </c>
      <c r="M46" s="112">
        <f>L46 / M428</f>
        <v>4.6454467817437658E-4</v>
      </c>
    </row>
    <row r="47" spans="1:13" ht="24" customHeight="1">
      <c r="A47" s="103" t="s">
        <v>72</v>
      </c>
      <c r="B47" s="103" t="s">
        <v>30</v>
      </c>
      <c r="C47" s="103"/>
      <c r="D47" s="103" t="s">
        <v>73</v>
      </c>
      <c r="E47" s="104"/>
      <c r="F47" s="105">
        <v>1</v>
      </c>
      <c r="G47" s="105" t="s">
        <v>31</v>
      </c>
      <c r="H47" s="105"/>
      <c r="I47" s="106">
        <f>K48 + K51 + K56</f>
        <v>546622.74</v>
      </c>
      <c r="J47" s="106">
        <f>L48 + L51 + L56</f>
        <v>546622.74</v>
      </c>
      <c r="K47" s="106">
        <f t="shared" si="0"/>
        <v>546622.74</v>
      </c>
      <c r="L47" s="106">
        <f t="shared" si="1"/>
        <v>546622.74</v>
      </c>
      <c r="M47" s="107">
        <f>L47 / M428</f>
        <v>0.20645442521390608</v>
      </c>
    </row>
    <row r="48" spans="1:13" ht="24" customHeight="1">
      <c r="A48" s="103" t="s">
        <v>74</v>
      </c>
      <c r="B48" s="103" t="s">
        <v>30</v>
      </c>
      <c r="C48" s="103"/>
      <c r="D48" s="103" t="s">
        <v>75</v>
      </c>
      <c r="E48" s="104"/>
      <c r="F48" s="105">
        <v>1</v>
      </c>
      <c r="G48" s="105" t="s">
        <v>31</v>
      </c>
      <c r="H48" s="105"/>
      <c r="I48" s="106">
        <f>K49 + K50</f>
        <v>14540.880000000001</v>
      </c>
      <c r="J48" s="106">
        <f>L49 + L50</f>
        <v>14540.880000000001</v>
      </c>
      <c r="K48" s="106">
        <f t="shared" si="0"/>
        <v>14540.88</v>
      </c>
      <c r="L48" s="106">
        <f t="shared" si="1"/>
        <v>14540.88</v>
      </c>
      <c r="M48" s="107">
        <f>L48 / M428</f>
        <v>5.4919578034832257E-3</v>
      </c>
    </row>
    <row r="49" spans="1:13" ht="26" customHeight="1">
      <c r="A49" s="108" t="s">
        <v>76</v>
      </c>
      <c r="B49" s="108" t="s">
        <v>77</v>
      </c>
      <c r="C49" s="108" t="s">
        <v>48</v>
      </c>
      <c r="D49" s="108" t="s">
        <v>504</v>
      </c>
      <c r="E49" s="109" t="s">
        <v>49</v>
      </c>
      <c r="F49" s="110">
        <v>2733.25</v>
      </c>
      <c r="G49" s="111">
        <v>2.89</v>
      </c>
      <c r="H49" s="111">
        <f>ROUND(J49/(1+$B$4),2)</f>
        <v>2.89</v>
      </c>
      <c r="I49" s="111">
        <f>TRUNC(TRUNC(G49 * B4, 2) + G49, 2)</f>
        <v>3.49</v>
      </c>
      <c r="J49" s="111">
        <f>TRUNC(L49/F49,4)</f>
        <v>3.4899</v>
      </c>
      <c r="K49" s="111">
        <f t="shared" si="0"/>
        <v>9539.0400000000009</v>
      </c>
      <c r="L49" s="111">
        <f t="shared" si="1"/>
        <v>9539.0400000000009</v>
      </c>
      <c r="M49" s="112">
        <f>L49 / M428</f>
        <v>3.6028084383984077E-3</v>
      </c>
    </row>
    <row r="50" spans="1:13" ht="26" customHeight="1">
      <c r="A50" s="108" t="s">
        <v>78</v>
      </c>
      <c r="B50" s="108" t="s">
        <v>79</v>
      </c>
      <c r="C50" s="108" t="s">
        <v>35</v>
      </c>
      <c r="D50" s="108" t="s">
        <v>80</v>
      </c>
      <c r="E50" s="109" t="s">
        <v>49</v>
      </c>
      <c r="F50" s="110">
        <v>2733.25</v>
      </c>
      <c r="G50" s="111">
        <v>1.52</v>
      </c>
      <c r="H50" s="111">
        <f>ROUND(J50/(1+$B$4),2)</f>
        <v>1.51</v>
      </c>
      <c r="I50" s="111">
        <f>TRUNC(TRUNC(G50 * B4, 2) + G50, 2)</f>
        <v>1.83</v>
      </c>
      <c r="J50" s="111">
        <f>TRUNC(L50/F50,4)</f>
        <v>1.8299000000000001</v>
      </c>
      <c r="K50" s="111">
        <f t="shared" si="0"/>
        <v>5001.84</v>
      </c>
      <c r="L50" s="111">
        <f t="shared" si="1"/>
        <v>5001.84</v>
      </c>
      <c r="M50" s="112">
        <f>L50 / M428</f>
        <v>1.8891493650848188E-3</v>
      </c>
    </row>
    <row r="51" spans="1:13" ht="24" customHeight="1">
      <c r="A51" s="103" t="s">
        <v>81</v>
      </c>
      <c r="B51" s="103" t="s">
        <v>30</v>
      </c>
      <c r="C51" s="103"/>
      <c r="D51" s="103" t="s">
        <v>95</v>
      </c>
      <c r="E51" s="104"/>
      <c r="F51" s="105">
        <v>1</v>
      </c>
      <c r="G51" s="105" t="s">
        <v>31</v>
      </c>
      <c r="H51" s="105"/>
      <c r="I51" s="106">
        <f>K52 + K53 + K54 + K55</f>
        <v>138849.19</v>
      </c>
      <c r="J51" s="106">
        <f>L52 + L53 + L54 + L55</f>
        <v>138849.19</v>
      </c>
      <c r="K51" s="106">
        <f t="shared" si="0"/>
        <v>138849.19</v>
      </c>
      <c r="L51" s="106">
        <f t="shared" si="1"/>
        <v>138849.19</v>
      </c>
      <c r="M51" s="107">
        <f>L51 / M428</f>
        <v>5.2442073143291544E-2</v>
      </c>
    </row>
    <row r="52" spans="1:13" ht="52" customHeight="1">
      <c r="A52" s="108" t="s">
        <v>82</v>
      </c>
      <c r="B52" s="108" t="s">
        <v>83</v>
      </c>
      <c r="C52" s="108" t="s">
        <v>48</v>
      </c>
      <c r="D52" s="108" t="s">
        <v>505</v>
      </c>
      <c r="E52" s="109" t="s">
        <v>70</v>
      </c>
      <c r="F52" s="110">
        <v>601.32000000000005</v>
      </c>
      <c r="G52" s="111">
        <v>171.09</v>
      </c>
      <c r="H52" s="111">
        <f>ROUND(J52/(1+$B$4),2)</f>
        <v>171.08</v>
      </c>
      <c r="I52" s="111">
        <f>TRUNC(TRUNC(G52 * B4, 2) + G52, 2)</f>
        <v>206.91</v>
      </c>
      <c r="J52" s="111">
        <f>TRUNC(L52/F52,4)</f>
        <v>206.90989999999999</v>
      </c>
      <c r="K52" s="111">
        <f t="shared" si="0"/>
        <v>124419.12</v>
      </c>
      <c r="L52" s="111">
        <f t="shared" si="1"/>
        <v>124419.12</v>
      </c>
      <c r="M52" s="112">
        <f>L52 / M428</f>
        <v>4.6991967266528288E-2</v>
      </c>
    </row>
    <row r="53" spans="1:13" ht="52" customHeight="1">
      <c r="A53" s="108" t="s">
        <v>84</v>
      </c>
      <c r="B53" s="108" t="s">
        <v>492</v>
      </c>
      <c r="C53" s="108" t="s">
        <v>48</v>
      </c>
      <c r="D53" s="108" t="s">
        <v>493</v>
      </c>
      <c r="E53" s="109" t="s">
        <v>70</v>
      </c>
      <c r="F53" s="110">
        <v>525.41</v>
      </c>
      <c r="G53" s="111">
        <v>13.82</v>
      </c>
      <c r="H53" s="111">
        <f>ROUND(J53/(1+$B$4),2)</f>
        <v>13.82</v>
      </c>
      <c r="I53" s="111">
        <f>TRUNC(TRUNC(G53 * B4, 2) + G53, 2)</f>
        <v>16.71</v>
      </c>
      <c r="J53" s="111">
        <f>TRUNC(L53/F53,4)</f>
        <v>16.709900000000001</v>
      </c>
      <c r="K53" s="111">
        <f t="shared" si="0"/>
        <v>8779.6</v>
      </c>
      <c r="L53" s="111">
        <f t="shared" si="1"/>
        <v>8779.6</v>
      </c>
      <c r="M53" s="112">
        <f>L53 / M428</f>
        <v>3.315974874385961E-3</v>
      </c>
    </row>
    <row r="54" spans="1:13" ht="26" customHeight="1">
      <c r="A54" s="108" t="s">
        <v>88</v>
      </c>
      <c r="B54" s="108" t="s">
        <v>85</v>
      </c>
      <c r="C54" s="108" t="s">
        <v>35</v>
      </c>
      <c r="D54" s="108" t="s">
        <v>86</v>
      </c>
      <c r="E54" s="109" t="s">
        <v>87</v>
      </c>
      <c r="F54" s="110">
        <v>2309.0700000000002</v>
      </c>
      <c r="G54" s="111">
        <v>1.26</v>
      </c>
      <c r="H54" s="111">
        <f>ROUND(J54/(1+$B$4),2)</f>
        <v>1.26</v>
      </c>
      <c r="I54" s="111">
        <f>TRUNC(TRUNC(G54 * B4, 2) + G54, 2)</f>
        <v>1.52</v>
      </c>
      <c r="J54" s="111">
        <f>TRUNC(L54/F54,4)</f>
        <v>1.5199</v>
      </c>
      <c r="K54" s="111">
        <f t="shared" si="0"/>
        <v>3509.78</v>
      </c>
      <c r="L54" s="111">
        <f t="shared" si="1"/>
        <v>3509.78</v>
      </c>
      <c r="M54" s="112">
        <f>L54 / M428</f>
        <v>1.3256119065358739E-3</v>
      </c>
    </row>
    <row r="55" spans="1:13" ht="26" customHeight="1">
      <c r="A55" s="108" t="s">
        <v>89</v>
      </c>
      <c r="B55" s="108" t="s">
        <v>92</v>
      </c>
      <c r="C55" s="108" t="s">
        <v>35</v>
      </c>
      <c r="D55" s="108" t="s">
        <v>93</v>
      </c>
      <c r="E55" s="109" t="s">
        <v>70</v>
      </c>
      <c r="F55" s="110">
        <v>601.32000000000005</v>
      </c>
      <c r="G55" s="111">
        <v>2.95</v>
      </c>
      <c r="H55" s="111">
        <f>ROUND(J55/(1+$B$4),2)</f>
        <v>2.94</v>
      </c>
      <c r="I55" s="111">
        <f>TRUNC(TRUNC(G55 * B4, 2) + G55, 2)</f>
        <v>3.56</v>
      </c>
      <c r="J55" s="111">
        <f>TRUNC(L55/F55,4)</f>
        <v>3.5598999999999998</v>
      </c>
      <c r="K55" s="111">
        <f t="shared" si="0"/>
        <v>2140.69</v>
      </c>
      <c r="L55" s="111">
        <f t="shared" si="1"/>
        <v>2140.69</v>
      </c>
      <c r="M55" s="112">
        <f>L55 / M428</f>
        <v>8.0851909584141451E-4</v>
      </c>
    </row>
    <row r="56" spans="1:13" ht="24" customHeight="1">
      <c r="A56" s="103" t="s">
        <v>94</v>
      </c>
      <c r="B56" s="103" t="s">
        <v>30</v>
      </c>
      <c r="C56" s="103"/>
      <c r="D56" s="103" t="s">
        <v>506</v>
      </c>
      <c r="E56" s="104"/>
      <c r="F56" s="105">
        <v>1</v>
      </c>
      <c r="G56" s="105" t="s">
        <v>31</v>
      </c>
      <c r="H56" s="105"/>
      <c r="I56" s="106">
        <f>K57</f>
        <v>393232.67</v>
      </c>
      <c r="J56" s="106">
        <f>L57</f>
        <v>393232.67</v>
      </c>
      <c r="K56" s="106">
        <f t="shared" si="0"/>
        <v>393232.67</v>
      </c>
      <c r="L56" s="106">
        <f t="shared" si="1"/>
        <v>393232.67</v>
      </c>
      <c r="M56" s="107">
        <f>L56 / M428</f>
        <v>0.14852039426713129</v>
      </c>
    </row>
    <row r="57" spans="1:13" ht="39" customHeight="1">
      <c r="A57" s="108" t="s">
        <v>96</v>
      </c>
      <c r="B57" s="108" t="s">
        <v>507</v>
      </c>
      <c r="C57" s="108" t="s">
        <v>48</v>
      </c>
      <c r="D57" s="108" t="s">
        <v>508</v>
      </c>
      <c r="E57" s="109" t="s">
        <v>49</v>
      </c>
      <c r="F57" s="110">
        <v>2733.25</v>
      </c>
      <c r="G57" s="111">
        <v>118.96</v>
      </c>
      <c r="H57" s="111">
        <f>ROUND(J57/(1+$B$4),2)</f>
        <v>118.96</v>
      </c>
      <c r="I57" s="111">
        <f>TRUNC(TRUNC(G57 * B4, 2) + G57, 2)</f>
        <v>143.87</v>
      </c>
      <c r="J57" s="111">
        <f>TRUNC(L57/F57,4)</f>
        <v>143.8699</v>
      </c>
      <c r="K57" s="111">
        <f t="shared" si="0"/>
        <v>393232.67</v>
      </c>
      <c r="L57" s="111">
        <f t="shared" si="1"/>
        <v>393232.67</v>
      </c>
      <c r="M57" s="112">
        <f>L57 / M428</f>
        <v>0.14852039426713129</v>
      </c>
    </row>
    <row r="58" spans="1:13" ht="24" customHeight="1">
      <c r="A58" s="103" t="s">
        <v>509</v>
      </c>
      <c r="B58" s="103" t="s">
        <v>30</v>
      </c>
      <c r="C58" s="103"/>
      <c r="D58" s="103" t="s">
        <v>510</v>
      </c>
      <c r="E58" s="104"/>
      <c r="F58" s="105">
        <v>1</v>
      </c>
      <c r="G58" s="105" t="s">
        <v>31</v>
      </c>
      <c r="H58" s="105"/>
      <c r="I58" s="106">
        <f>K59 + K60 + K61</f>
        <v>23168.57</v>
      </c>
      <c r="J58" s="106">
        <f>L59 + L60 + L61</f>
        <v>23168.57</v>
      </c>
      <c r="K58" s="106">
        <f t="shared" si="0"/>
        <v>23168.57</v>
      </c>
      <c r="L58" s="106">
        <f t="shared" si="1"/>
        <v>23168.57</v>
      </c>
      <c r="M58" s="107">
        <f>L58 / M428</f>
        <v>8.7505576558672762E-3</v>
      </c>
    </row>
    <row r="59" spans="1:13" ht="65" customHeight="1">
      <c r="A59" s="108" t="s">
        <v>511</v>
      </c>
      <c r="B59" s="108" t="s">
        <v>123</v>
      </c>
      <c r="C59" s="108" t="s">
        <v>48</v>
      </c>
      <c r="D59" s="108" t="s">
        <v>512</v>
      </c>
      <c r="E59" s="109" t="s">
        <v>63</v>
      </c>
      <c r="F59" s="110">
        <v>37.6</v>
      </c>
      <c r="G59" s="111">
        <v>51.73</v>
      </c>
      <c r="H59" s="111">
        <f>ROUND(J59/(1+$B$4),2)</f>
        <v>51.73</v>
      </c>
      <c r="I59" s="111">
        <f>TRUNC(TRUNC(G59 * B4, 2) + G59, 2)</f>
        <v>62.56</v>
      </c>
      <c r="J59" s="111">
        <f>TRUNC(L59/F59,4)</f>
        <v>62.559800000000003</v>
      </c>
      <c r="K59" s="111">
        <f t="shared" si="0"/>
        <v>2352.25</v>
      </c>
      <c r="L59" s="111">
        <f t="shared" si="1"/>
        <v>2352.25</v>
      </c>
      <c r="M59" s="112">
        <f>L59 / M428</f>
        <v>8.8842337900068072E-4</v>
      </c>
    </row>
    <row r="60" spans="1:13" ht="65" customHeight="1">
      <c r="A60" s="108" t="s">
        <v>513</v>
      </c>
      <c r="B60" s="108" t="s">
        <v>122</v>
      </c>
      <c r="C60" s="108" t="s">
        <v>48</v>
      </c>
      <c r="D60" s="108" t="s">
        <v>514</v>
      </c>
      <c r="E60" s="109" t="s">
        <v>63</v>
      </c>
      <c r="F60" s="110">
        <v>340.1</v>
      </c>
      <c r="G60" s="111">
        <v>48.48</v>
      </c>
      <c r="H60" s="111">
        <f>ROUND(J60/(1+$B$4),2)</f>
        <v>48.48</v>
      </c>
      <c r="I60" s="111">
        <f>TRUNC(TRUNC(G60 * B4, 2) + G60, 2)</f>
        <v>58.63</v>
      </c>
      <c r="J60" s="111">
        <f>TRUNC(L60/F60,4)</f>
        <v>58.629899999999999</v>
      </c>
      <c r="K60" s="111">
        <f t="shared" si="0"/>
        <v>19940.060000000001</v>
      </c>
      <c r="L60" s="111">
        <f t="shared" si="1"/>
        <v>19940.060000000001</v>
      </c>
      <c r="M60" s="112">
        <f>L60 / M428</f>
        <v>7.5311788639287128E-3</v>
      </c>
    </row>
    <row r="61" spans="1:13" ht="26" customHeight="1">
      <c r="A61" s="108" t="s">
        <v>515</v>
      </c>
      <c r="B61" s="108" t="s">
        <v>124</v>
      </c>
      <c r="C61" s="108" t="s">
        <v>48</v>
      </c>
      <c r="D61" s="108" t="s">
        <v>125</v>
      </c>
      <c r="E61" s="109" t="s">
        <v>63</v>
      </c>
      <c r="F61" s="110">
        <v>377.7</v>
      </c>
      <c r="G61" s="111">
        <v>1.92</v>
      </c>
      <c r="H61" s="111">
        <f>ROUND(J61/(1+$B$4),2)</f>
        <v>1.92</v>
      </c>
      <c r="I61" s="111">
        <f>TRUNC(TRUNC(G61 * B4, 2) + G61, 2)</f>
        <v>2.3199999999999998</v>
      </c>
      <c r="J61" s="111">
        <f>TRUNC(L61/F61,4)</f>
        <v>2.3199000000000001</v>
      </c>
      <c r="K61" s="111">
        <f t="shared" si="0"/>
        <v>876.26</v>
      </c>
      <c r="L61" s="111">
        <f t="shared" si="1"/>
        <v>876.26</v>
      </c>
      <c r="M61" s="112">
        <f>L61 / M428</f>
        <v>3.309554129378835E-4</v>
      </c>
    </row>
    <row r="62" spans="1:13" ht="24" customHeight="1">
      <c r="A62" s="103" t="s">
        <v>516</v>
      </c>
      <c r="B62" s="103" t="s">
        <v>30</v>
      </c>
      <c r="C62" s="103"/>
      <c r="D62" s="103" t="s">
        <v>517</v>
      </c>
      <c r="E62" s="104"/>
      <c r="F62" s="105">
        <v>1</v>
      </c>
      <c r="G62" s="105" t="s">
        <v>31</v>
      </c>
      <c r="H62" s="105"/>
      <c r="I62" s="106">
        <f>K63</f>
        <v>13016.04</v>
      </c>
      <c r="J62" s="106">
        <f>L63</f>
        <v>13016.04</v>
      </c>
      <c r="K62" s="106">
        <f t="shared" si="0"/>
        <v>13016.04</v>
      </c>
      <c r="L62" s="106">
        <f t="shared" si="1"/>
        <v>13016.04</v>
      </c>
      <c r="M62" s="107">
        <f>L62 / M428</f>
        <v>4.9160396377970119E-3</v>
      </c>
    </row>
    <row r="63" spans="1:13" ht="24" customHeight="1">
      <c r="A63" s="108" t="s">
        <v>518</v>
      </c>
      <c r="B63" s="108" t="s">
        <v>241</v>
      </c>
      <c r="C63" s="108" t="s">
        <v>48</v>
      </c>
      <c r="D63" s="108" t="s">
        <v>519</v>
      </c>
      <c r="E63" s="109" t="s">
        <v>49</v>
      </c>
      <c r="F63" s="110">
        <v>686.5</v>
      </c>
      <c r="G63" s="111">
        <v>15.68</v>
      </c>
      <c r="H63" s="111">
        <f>ROUND(J63/(1+$B$4),2)</f>
        <v>15.68</v>
      </c>
      <c r="I63" s="111">
        <f>TRUNC(TRUNC(G63 * B4, 2) + G63, 2)</f>
        <v>18.96</v>
      </c>
      <c r="J63" s="111">
        <f>TRUNC(L63/F63,4)</f>
        <v>18.96</v>
      </c>
      <c r="K63" s="111">
        <f t="shared" si="0"/>
        <v>13016.04</v>
      </c>
      <c r="L63" s="111">
        <f t="shared" si="1"/>
        <v>13016.04</v>
      </c>
      <c r="M63" s="112">
        <f>L63 / M428</f>
        <v>4.9160396377970119E-3</v>
      </c>
    </row>
    <row r="64" spans="1:13" ht="24" customHeight="1">
      <c r="A64" s="103" t="s">
        <v>520</v>
      </c>
      <c r="B64" s="103" t="s">
        <v>30</v>
      </c>
      <c r="C64" s="103"/>
      <c r="D64" s="103" t="s">
        <v>521</v>
      </c>
      <c r="E64" s="104"/>
      <c r="F64" s="105">
        <v>1</v>
      </c>
      <c r="G64" s="105" t="s">
        <v>31</v>
      </c>
      <c r="H64" s="105"/>
      <c r="I64" s="106">
        <f>K65 + K66 + K67 + K68</f>
        <v>27049.9</v>
      </c>
      <c r="J64" s="106">
        <f>L65 + L66 + L67 + L68</f>
        <v>27049.9</v>
      </c>
      <c r="K64" s="106">
        <f t="shared" si="0"/>
        <v>27049.9</v>
      </c>
      <c r="L64" s="106">
        <f t="shared" si="1"/>
        <v>27049.9</v>
      </c>
      <c r="M64" s="107">
        <f>L64 / M428</f>
        <v>1.0216500609897126E-2</v>
      </c>
    </row>
    <row r="65" spans="1:13" ht="39" customHeight="1">
      <c r="A65" s="108" t="s">
        <v>522</v>
      </c>
      <c r="B65" s="108" t="s">
        <v>523</v>
      </c>
      <c r="C65" s="108" t="s">
        <v>35</v>
      </c>
      <c r="D65" s="108" t="s">
        <v>524</v>
      </c>
      <c r="E65" s="109" t="s">
        <v>49</v>
      </c>
      <c r="F65" s="110">
        <v>781.68</v>
      </c>
      <c r="G65" s="111">
        <v>15.34</v>
      </c>
      <c r="H65" s="111">
        <f>ROUND(J65/(1+$B$4),2)</f>
        <v>15.34</v>
      </c>
      <c r="I65" s="111">
        <f>TRUNC(TRUNC(G65 * B4, 2) + G65, 2)</f>
        <v>18.55</v>
      </c>
      <c r="J65" s="111">
        <f>TRUNC(L65/F65,4)</f>
        <v>18.549900000000001</v>
      </c>
      <c r="K65" s="111">
        <f t="shared" si="0"/>
        <v>14500.16</v>
      </c>
      <c r="L65" s="111">
        <f t="shared" si="1"/>
        <v>14500.16</v>
      </c>
      <c r="M65" s="112">
        <f>L65 / M428</f>
        <v>5.4765782307367459E-3</v>
      </c>
    </row>
    <row r="66" spans="1:13" ht="26" customHeight="1">
      <c r="A66" s="108" t="s">
        <v>525</v>
      </c>
      <c r="B66" s="108" t="s">
        <v>526</v>
      </c>
      <c r="C66" s="108" t="s">
        <v>48</v>
      </c>
      <c r="D66" s="108" t="s">
        <v>527</v>
      </c>
      <c r="E66" s="109" t="s">
        <v>49</v>
      </c>
      <c r="F66" s="110">
        <v>235.59</v>
      </c>
      <c r="G66" s="111">
        <v>23.99</v>
      </c>
      <c r="H66" s="111">
        <f>ROUND(J66/(1+$B$4),2)</f>
        <v>23.99</v>
      </c>
      <c r="I66" s="111">
        <f>TRUNC(TRUNC(G66 * B4, 2) + G66, 2)</f>
        <v>29.01</v>
      </c>
      <c r="J66" s="111">
        <f>TRUNC(L66/F66,4)</f>
        <v>29.009899999999998</v>
      </c>
      <c r="K66" s="111">
        <f t="shared" si="0"/>
        <v>6834.46</v>
      </c>
      <c r="L66" s="111">
        <f t="shared" si="1"/>
        <v>6834.46</v>
      </c>
      <c r="M66" s="112">
        <f>L66 / M428</f>
        <v>2.5813132306706315E-3</v>
      </c>
    </row>
    <row r="67" spans="1:13" ht="52" customHeight="1">
      <c r="A67" s="108" t="s">
        <v>528</v>
      </c>
      <c r="B67" s="108" t="s">
        <v>464</v>
      </c>
      <c r="C67" s="108" t="s">
        <v>48</v>
      </c>
      <c r="D67" s="108" t="s">
        <v>529</v>
      </c>
      <c r="E67" s="109" t="s">
        <v>70</v>
      </c>
      <c r="F67" s="110">
        <v>24.91</v>
      </c>
      <c r="G67" s="111">
        <v>95.45</v>
      </c>
      <c r="H67" s="111">
        <f>ROUND(J67/(1+$B$4),2)</f>
        <v>95.44</v>
      </c>
      <c r="I67" s="111">
        <f>TRUNC(TRUNC(G67 * B4, 2) + G67, 2)</f>
        <v>115.43</v>
      </c>
      <c r="J67" s="111">
        <f>TRUNC(L67/F67,4)</f>
        <v>115.4299</v>
      </c>
      <c r="K67" s="111">
        <f t="shared" si="0"/>
        <v>2875.36</v>
      </c>
      <c r="L67" s="111">
        <f t="shared" si="1"/>
        <v>2875.36</v>
      </c>
      <c r="M67" s="112">
        <f>L67 / M428</f>
        <v>1.0859972566875959E-3</v>
      </c>
    </row>
    <row r="68" spans="1:13" ht="39" customHeight="1">
      <c r="A68" s="108" t="s">
        <v>530</v>
      </c>
      <c r="B68" s="108" t="s">
        <v>90</v>
      </c>
      <c r="C68" s="108" t="s">
        <v>48</v>
      </c>
      <c r="D68" s="108" t="s">
        <v>91</v>
      </c>
      <c r="E68" s="109" t="s">
        <v>87</v>
      </c>
      <c r="F68" s="110">
        <v>1245.58</v>
      </c>
      <c r="G68" s="111">
        <v>1.89</v>
      </c>
      <c r="H68" s="111">
        <f>ROUND(J68/(1+$B$4),2)</f>
        <v>1.89</v>
      </c>
      <c r="I68" s="111">
        <f>TRUNC(TRUNC(G68 * B4, 2) + G68, 2)</f>
        <v>2.2799999999999998</v>
      </c>
      <c r="J68" s="111">
        <f>TRUNC(L68/F68,4)</f>
        <v>2.2799</v>
      </c>
      <c r="K68" s="111">
        <f t="shared" si="0"/>
        <v>2839.92</v>
      </c>
      <c r="L68" s="111">
        <f t="shared" si="1"/>
        <v>2839.92</v>
      </c>
      <c r="M68" s="112">
        <f>L68 / M428</f>
        <v>1.0726118918021525E-3</v>
      </c>
    </row>
    <row r="69" spans="1:13" ht="24" customHeight="1">
      <c r="A69" s="103" t="s">
        <v>9</v>
      </c>
      <c r="B69" s="103" t="s">
        <v>30</v>
      </c>
      <c r="C69" s="103"/>
      <c r="D69" s="103" t="s">
        <v>439</v>
      </c>
      <c r="E69" s="104"/>
      <c r="F69" s="105">
        <v>1</v>
      </c>
      <c r="G69" s="105" t="s">
        <v>31</v>
      </c>
      <c r="H69" s="105"/>
      <c r="I69" s="106">
        <f>K70 + K86 + K103 + K111</f>
        <v>97872.569999999992</v>
      </c>
      <c r="J69" s="106">
        <f>L70 + L86 + L103 + L111</f>
        <v>97872.569999999992</v>
      </c>
      <c r="K69" s="106">
        <f t="shared" si="0"/>
        <v>97872.57</v>
      </c>
      <c r="L69" s="106">
        <f t="shared" si="1"/>
        <v>97872.57</v>
      </c>
      <c r="M69" s="107">
        <f>L69 / M428</f>
        <v>3.6965577362474508E-2</v>
      </c>
    </row>
    <row r="70" spans="1:13" ht="24" customHeight="1">
      <c r="A70" s="103" t="s">
        <v>98</v>
      </c>
      <c r="B70" s="103" t="s">
        <v>30</v>
      </c>
      <c r="C70" s="103"/>
      <c r="D70" s="103" t="s">
        <v>531</v>
      </c>
      <c r="E70" s="104"/>
      <c r="F70" s="105">
        <v>1</v>
      </c>
      <c r="G70" s="105" t="s">
        <v>31</v>
      </c>
      <c r="H70" s="105"/>
      <c r="I70" s="106">
        <f>K71 + K72 + K73 + K74 + K75 + K76 + K77 + K78 + K79 + K80 + K81 + K82 + K83 + K84 + K85</f>
        <v>57081.329999999987</v>
      </c>
      <c r="J70" s="106">
        <f>L71 + L72 + L73 + L74 + L75 + L76 + L77 + L78 + L79 + L80 + L81 + L82 + L83 + L84 + L85</f>
        <v>57081.329999999987</v>
      </c>
      <c r="K70" s="106">
        <f t="shared" si="0"/>
        <v>57081.33</v>
      </c>
      <c r="L70" s="106">
        <f t="shared" si="1"/>
        <v>57081.33</v>
      </c>
      <c r="M70" s="107">
        <f>L70 / M428</f>
        <v>2.1559097917505762E-2</v>
      </c>
    </row>
    <row r="71" spans="1:13" ht="39" customHeight="1">
      <c r="A71" s="108" t="s">
        <v>99</v>
      </c>
      <c r="B71" s="108" t="s">
        <v>532</v>
      </c>
      <c r="C71" s="108" t="s">
        <v>48</v>
      </c>
      <c r="D71" s="108" t="s">
        <v>533</v>
      </c>
      <c r="E71" s="109" t="s">
        <v>36</v>
      </c>
      <c r="F71" s="110">
        <v>5</v>
      </c>
      <c r="G71" s="111">
        <v>1693.44</v>
      </c>
      <c r="H71" s="111">
        <f t="shared" ref="H71:H85" si="2">ROUND(J71/(1+$B$4),2)</f>
        <v>1693.43</v>
      </c>
      <c r="I71" s="111">
        <f>TRUNC(TRUNC(G71 * B4, 2) + G71, 2)</f>
        <v>2048.04</v>
      </c>
      <c r="J71" s="111">
        <f t="shared" ref="J71:J85" si="3">TRUNC(L71/F71,4)</f>
        <v>2048.04</v>
      </c>
      <c r="K71" s="111">
        <f t="shared" si="0"/>
        <v>10240.200000000001</v>
      </c>
      <c r="L71" s="111">
        <f t="shared" si="1"/>
        <v>10240.200000000001</v>
      </c>
      <c r="M71" s="112">
        <f>L71 / M428</f>
        <v>3.8676301777628959E-3</v>
      </c>
    </row>
    <row r="72" spans="1:13" ht="52" customHeight="1">
      <c r="A72" s="108" t="s">
        <v>101</v>
      </c>
      <c r="B72" s="108" t="s">
        <v>534</v>
      </c>
      <c r="C72" s="108" t="s">
        <v>48</v>
      </c>
      <c r="D72" s="108" t="s">
        <v>535</v>
      </c>
      <c r="E72" s="109" t="s">
        <v>36</v>
      </c>
      <c r="F72" s="110">
        <v>1</v>
      </c>
      <c r="G72" s="111">
        <v>1054.6199999999999</v>
      </c>
      <c r="H72" s="111">
        <f t="shared" si="2"/>
        <v>1054.6099999999999</v>
      </c>
      <c r="I72" s="111">
        <f>TRUNC(TRUNC(G72 * B4, 2) + G72, 2)</f>
        <v>1275.45</v>
      </c>
      <c r="J72" s="111">
        <f t="shared" si="3"/>
        <v>1275.45</v>
      </c>
      <c r="K72" s="111">
        <f t="shared" si="0"/>
        <v>1275.45</v>
      </c>
      <c r="L72" s="111">
        <f t="shared" si="1"/>
        <v>1275.45</v>
      </c>
      <c r="M72" s="112">
        <f>L72 / M428</f>
        <v>4.8172583643167957E-4</v>
      </c>
    </row>
    <row r="73" spans="1:13" ht="39" customHeight="1">
      <c r="A73" s="108" t="s">
        <v>103</v>
      </c>
      <c r="B73" s="108" t="s">
        <v>116</v>
      </c>
      <c r="C73" s="108" t="s">
        <v>48</v>
      </c>
      <c r="D73" s="108" t="s">
        <v>117</v>
      </c>
      <c r="E73" s="109" t="s">
        <v>63</v>
      </c>
      <c r="F73" s="110">
        <v>0.5</v>
      </c>
      <c r="G73" s="111">
        <v>300.52999999999997</v>
      </c>
      <c r="H73" s="111">
        <f t="shared" si="2"/>
        <v>300.52999999999997</v>
      </c>
      <c r="I73" s="111">
        <f>TRUNC(TRUNC(G73 * B4, 2) + G73, 2)</f>
        <v>363.46</v>
      </c>
      <c r="J73" s="111">
        <f t="shared" si="3"/>
        <v>363.46</v>
      </c>
      <c r="K73" s="111">
        <f t="shared" ref="K73:K136" si="4">TRUNC(F73 * I73,2)</f>
        <v>181.73</v>
      </c>
      <c r="L73" s="111">
        <f t="shared" si="1"/>
        <v>181.73</v>
      </c>
      <c r="M73" s="112">
        <f>L73 / M428</f>
        <v>6.8637764126174391E-5</v>
      </c>
    </row>
    <row r="74" spans="1:13" ht="39" customHeight="1">
      <c r="A74" s="108" t="s">
        <v>105</v>
      </c>
      <c r="B74" s="108" t="s">
        <v>536</v>
      </c>
      <c r="C74" s="108" t="s">
        <v>48</v>
      </c>
      <c r="D74" s="108" t="s">
        <v>537</v>
      </c>
      <c r="E74" s="109" t="s">
        <v>36</v>
      </c>
      <c r="F74" s="110">
        <v>1</v>
      </c>
      <c r="G74" s="111">
        <v>109.86</v>
      </c>
      <c r="H74" s="111">
        <f t="shared" si="2"/>
        <v>109.86</v>
      </c>
      <c r="I74" s="111">
        <f>TRUNC(TRUNC(G74 * B4, 2) + G74, 2)</f>
        <v>132.86000000000001</v>
      </c>
      <c r="J74" s="111">
        <f t="shared" si="3"/>
        <v>132.86000000000001</v>
      </c>
      <c r="K74" s="111">
        <f t="shared" si="4"/>
        <v>132.86000000000001</v>
      </c>
      <c r="L74" s="111">
        <f t="shared" ref="L74:L137" si="5">ROUND((1-$B$6) * K74,2)</f>
        <v>132.86000000000001</v>
      </c>
      <c r="M74" s="112">
        <f>L74 / M428</f>
        <v>5.0180010685101693E-5</v>
      </c>
    </row>
    <row r="75" spans="1:13" ht="52" customHeight="1">
      <c r="A75" s="108" t="s">
        <v>107</v>
      </c>
      <c r="B75" s="108" t="s">
        <v>102</v>
      </c>
      <c r="C75" s="108" t="s">
        <v>48</v>
      </c>
      <c r="D75" s="108" t="s">
        <v>538</v>
      </c>
      <c r="E75" s="109" t="s">
        <v>63</v>
      </c>
      <c r="F75" s="110">
        <v>107.05</v>
      </c>
      <c r="G75" s="111">
        <v>163.9</v>
      </c>
      <c r="H75" s="111">
        <f t="shared" si="2"/>
        <v>163.9</v>
      </c>
      <c r="I75" s="111">
        <f>TRUNC(TRUNC(G75 * B4, 2) + G75, 2)</f>
        <v>198.22</v>
      </c>
      <c r="J75" s="111">
        <f t="shared" si="3"/>
        <v>198.2199</v>
      </c>
      <c r="K75" s="111">
        <f t="shared" si="4"/>
        <v>21219.45</v>
      </c>
      <c r="L75" s="111">
        <f t="shared" si="5"/>
        <v>21219.45</v>
      </c>
      <c r="M75" s="112">
        <f>L75 / M428</f>
        <v>8.0143928024385136E-3</v>
      </c>
    </row>
    <row r="76" spans="1:13" ht="24" customHeight="1">
      <c r="A76" s="108" t="s">
        <v>108</v>
      </c>
      <c r="B76" s="108" t="s">
        <v>100</v>
      </c>
      <c r="C76" s="108" t="s">
        <v>48</v>
      </c>
      <c r="D76" s="108" t="s">
        <v>539</v>
      </c>
      <c r="E76" s="109" t="s">
        <v>63</v>
      </c>
      <c r="F76" s="110">
        <v>132.86000000000001</v>
      </c>
      <c r="G76" s="111">
        <v>10.16</v>
      </c>
      <c r="H76" s="111">
        <f t="shared" si="2"/>
        <v>10.15</v>
      </c>
      <c r="I76" s="111">
        <f>TRUNC(TRUNC(G76 * B4, 2) + G76, 2)</f>
        <v>12.28</v>
      </c>
      <c r="J76" s="111">
        <f t="shared" si="3"/>
        <v>12.2799</v>
      </c>
      <c r="K76" s="111">
        <f t="shared" si="4"/>
        <v>1631.52</v>
      </c>
      <c r="L76" s="111">
        <f t="shared" si="5"/>
        <v>1631.52</v>
      </c>
      <c r="M76" s="112">
        <f>L76 / M428</f>
        <v>6.1621022906034248E-4</v>
      </c>
    </row>
    <row r="77" spans="1:13" ht="39" customHeight="1">
      <c r="A77" s="108" t="s">
        <v>111</v>
      </c>
      <c r="B77" s="108" t="s">
        <v>540</v>
      </c>
      <c r="C77" s="108" t="s">
        <v>48</v>
      </c>
      <c r="D77" s="108" t="s">
        <v>541</v>
      </c>
      <c r="E77" s="109" t="s">
        <v>36</v>
      </c>
      <c r="F77" s="110">
        <v>10</v>
      </c>
      <c r="G77" s="111">
        <v>65.680000000000007</v>
      </c>
      <c r="H77" s="111">
        <f t="shared" si="2"/>
        <v>65.680000000000007</v>
      </c>
      <c r="I77" s="111">
        <f>TRUNC(TRUNC(G77 * B4, 2) + G77, 2)</f>
        <v>79.430000000000007</v>
      </c>
      <c r="J77" s="111">
        <f t="shared" si="3"/>
        <v>79.430000000000007</v>
      </c>
      <c r="K77" s="111">
        <f t="shared" si="4"/>
        <v>794.3</v>
      </c>
      <c r="L77" s="111">
        <f t="shared" si="5"/>
        <v>794.3</v>
      </c>
      <c r="M77" s="112">
        <f>L77 / M428</f>
        <v>2.9999986818588187E-4</v>
      </c>
    </row>
    <row r="78" spans="1:13" ht="52" customHeight="1">
      <c r="A78" s="108" t="s">
        <v>542</v>
      </c>
      <c r="B78" s="108" t="s">
        <v>104</v>
      </c>
      <c r="C78" s="108" t="s">
        <v>48</v>
      </c>
      <c r="D78" s="108" t="s">
        <v>543</v>
      </c>
      <c r="E78" s="109" t="s">
        <v>63</v>
      </c>
      <c r="F78" s="110">
        <v>25.81</v>
      </c>
      <c r="G78" s="111">
        <v>304.51</v>
      </c>
      <c r="H78" s="111">
        <f t="shared" si="2"/>
        <v>304.51</v>
      </c>
      <c r="I78" s="111">
        <f>TRUNC(TRUNC(G78 * B4, 2) + G78, 2)</f>
        <v>368.27</v>
      </c>
      <c r="J78" s="111">
        <f t="shared" si="3"/>
        <v>368.26960000000003</v>
      </c>
      <c r="K78" s="111">
        <f t="shared" si="4"/>
        <v>9505.0400000000009</v>
      </c>
      <c r="L78" s="111">
        <f t="shared" si="5"/>
        <v>9505.0400000000009</v>
      </c>
      <c r="M78" s="112">
        <f>L78 / M428</f>
        <v>3.5899669483841559E-3</v>
      </c>
    </row>
    <row r="79" spans="1:13" ht="39" customHeight="1">
      <c r="A79" s="108" t="s">
        <v>544</v>
      </c>
      <c r="B79" s="108" t="s">
        <v>545</v>
      </c>
      <c r="C79" s="108" t="s">
        <v>48</v>
      </c>
      <c r="D79" s="108" t="s">
        <v>546</v>
      </c>
      <c r="E79" s="109" t="s">
        <v>36</v>
      </c>
      <c r="F79" s="110">
        <v>2</v>
      </c>
      <c r="G79" s="111">
        <v>91.07</v>
      </c>
      <c r="H79" s="111">
        <f t="shared" si="2"/>
        <v>91.07</v>
      </c>
      <c r="I79" s="111">
        <f>TRUNC(TRUNC(G79 * B4, 2) + G79, 2)</f>
        <v>110.14</v>
      </c>
      <c r="J79" s="111">
        <f t="shared" si="3"/>
        <v>110.14</v>
      </c>
      <c r="K79" s="111">
        <f t="shared" si="4"/>
        <v>220.28</v>
      </c>
      <c r="L79" s="111">
        <f t="shared" si="5"/>
        <v>220.28</v>
      </c>
      <c r="M79" s="112">
        <f>L79 / M428</f>
        <v>8.3197747657038992E-5</v>
      </c>
    </row>
    <row r="80" spans="1:13" ht="26" customHeight="1">
      <c r="A80" s="108" t="s">
        <v>547</v>
      </c>
      <c r="B80" s="108" t="s">
        <v>109</v>
      </c>
      <c r="C80" s="108" t="s">
        <v>48</v>
      </c>
      <c r="D80" s="108" t="s">
        <v>110</v>
      </c>
      <c r="E80" s="109" t="s">
        <v>49</v>
      </c>
      <c r="F80" s="110">
        <v>120.6</v>
      </c>
      <c r="G80" s="111">
        <v>7.36</v>
      </c>
      <c r="H80" s="111">
        <f t="shared" si="2"/>
        <v>7.36</v>
      </c>
      <c r="I80" s="111">
        <f>TRUNC(TRUNC(G80 * B4, 2) + G80, 2)</f>
        <v>8.9</v>
      </c>
      <c r="J80" s="111">
        <f t="shared" si="3"/>
        <v>8.9</v>
      </c>
      <c r="K80" s="111">
        <f t="shared" si="4"/>
        <v>1073.3399999999999</v>
      </c>
      <c r="L80" s="111">
        <f t="shared" si="5"/>
        <v>1073.3399999999999</v>
      </c>
      <c r="M80" s="112">
        <f>L80 / M428</f>
        <v>4.0539073211460965E-4</v>
      </c>
    </row>
    <row r="81" spans="1:13" ht="65" customHeight="1">
      <c r="A81" s="108" t="s">
        <v>548</v>
      </c>
      <c r="B81" s="108" t="s">
        <v>106</v>
      </c>
      <c r="C81" s="108" t="s">
        <v>48</v>
      </c>
      <c r="D81" s="108" t="s">
        <v>549</v>
      </c>
      <c r="E81" s="109" t="s">
        <v>70</v>
      </c>
      <c r="F81" s="110">
        <v>230.83</v>
      </c>
      <c r="G81" s="111">
        <v>7.01</v>
      </c>
      <c r="H81" s="111">
        <f t="shared" si="2"/>
        <v>7</v>
      </c>
      <c r="I81" s="111">
        <f>TRUNC(TRUNC(G81 * B4, 2) + G81, 2)</f>
        <v>8.4700000000000006</v>
      </c>
      <c r="J81" s="111">
        <f t="shared" si="3"/>
        <v>8.4699000000000009</v>
      </c>
      <c r="K81" s="111">
        <f t="shared" si="4"/>
        <v>1955.13</v>
      </c>
      <c r="L81" s="111">
        <f t="shared" si="5"/>
        <v>1955.13</v>
      </c>
      <c r="M81" s="112">
        <f>L81 / M428</f>
        <v>7.3843477563422303E-4</v>
      </c>
    </row>
    <row r="82" spans="1:13" ht="65" customHeight="1">
      <c r="A82" s="108" t="s">
        <v>550</v>
      </c>
      <c r="B82" s="108" t="s">
        <v>551</v>
      </c>
      <c r="C82" s="108" t="s">
        <v>48</v>
      </c>
      <c r="D82" s="108" t="s">
        <v>552</v>
      </c>
      <c r="E82" s="109" t="s">
        <v>70</v>
      </c>
      <c r="F82" s="110">
        <v>172.23</v>
      </c>
      <c r="G82" s="111">
        <v>23.66</v>
      </c>
      <c r="H82" s="111">
        <f t="shared" si="2"/>
        <v>23.66</v>
      </c>
      <c r="I82" s="111">
        <f>TRUNC(TRUNC(G82 * B4, 2) + G82, 2)</f>
        <v>28.61</v>
      </c>
      <c r="J82" s="111">
        <f t="shared" si="3"/>
        <v>28.6099</v>
      </c>
      <c r="K82" s="111">
        <f t="shared" si="4"/>
        <v>4927.5</v>
      </c>
      <c r="L82" s="111">
        <f t="shared" si="5"/>
        <v>4927.5</v>
      </c>
      <c r="M82" s="112">
        <f>L82 / M428</f>
        <v>1.8610718248595406E-3</v>
      </c>
    </row>
    <row r="83" spans="1:13" ht="39" customHeight="1">
      <c r="A83" s="108" t="s">
        <v>553</v>
      </c>
      <c r="B83" s="108" t="s">
        <v>554</v>
      </c>
      <c r="C83" s="108" t="s">
        <v>48</v>
      </c>
      <c r="D83" s="108" t="s">
        <v>555</v>
      </c>
      <c r="E83" s="109" t="s">
        <v>70</v>
      </c>
      <c r="F83" s="110">
        <v>2.4</v>
      </c>
      <c r="G83" s="111">
        <v>346.26</v>
      </c>
      <c r="H83" s="111">
        <f t="shared" si="2"/>
        <v>346.25</v>
      </c>
      <c r="I83" s="111">
        <f>TRUNC(TRUNC(G83 * B4, 2) + G83, 2)</f>
        <v>418.76</v>
      </c>
      <c r="J83" s="111">
        <f t="shared" si="3"/>
        <v>418.75830000000002</v>
      </c>
      <c r="K83" s="111">
        <f t="shared" si="4"/>
        <v>1005.02</v>
      </c>
      <c r="L83" s="111">
        <f t="shared" si="5"/>
        <v>1005.02</v>
      </c>
      <c r="M83" s="112">
        <f>L83 / M428</f>
        <v>3.7958689100361958E-4</v>
      </c>
    </row>
    <row r="84" spans="1:13" ht="39" customHeight="1">
      <c r="A84" s="108" t="s">
        <v>556</v>
      </c>
      <c r="B84" s="108" t="s">
        <v>557</v>
      </c>
      <c r="C84" s="108" t="s">
        <v>48</v>
      </c>
      <c r="D84" s="108" t="s">
        <v>558</v>
      </c>
      <c r="E84" s="109" t="s">
        <v>70</v>
      </c>
      <c r="F84" s="110">
        <v>0.6</v>
      </c>
      <c r="G84" s="111">
        <v>2136.73</v>
      </c>
      <c r="H84" s="111">
        <f t="shared" si="2"/>
        <v>2136.7199999999998</v>
      </c>
      <c r="I84" s="111">
        <f>TRUNC(TRUNC(G84 * B4, 2) + G84, 2)</f>
        <v>2584.16</v>
      </c>
      <c r="J84" s="111">
        <f t="shared" si="3"/>
        <v>2584.15</v>
      </c>
      <c r="K84" s="111">
        <f t="shared" si="4"/>
        <v>1550.49</v>
      </c>
      <c r="L84" s="111">
        <f t="shared" si="5"/>
        <v>1550.49</v>
      </c>
      <c r="M84" s="112">
        <f>L84 / M428</f>
        <v>5.8560593682931898E-4</v>
      </c>
    </row>
    <row r="85" spans="1:13" ht="39" customHeight="1">
      <c r="A85" s="108" t="s">
        <v>559</v>
      </c>
      <c r="B85" s="108" t="s">
        <v>560</v>
      </c>
      <c r="C85" s="108" t="s">
        <v>48</v>
      </c>
      <c r="D85" s="108" t="s">
        <v>561</v>
      </c>
      <c r="E85" s="109" t="s">
        <v>49</v>
      </c>
      <c r="F85" s="110">
        <v>42.97</v>
      </c>
      <c r="G85" s="111">
        <v>26.35</v>
      </c>
      <c r="H85" s="111">
        <f t="shared" si="2"/>
        <v>26.34</v>
      </c>
      <c r="I85" s="111">
        <f>TRUNC(TRUNC(G85 * B4, 2) + G85, 2)</f>
        <v>31.86</v>
      </c>
      <c r="J85" s="111">
        <f t="shared" si="3"/>
        <v>31.8599</v>
      </c>
      <c r="K85" s="111">
        <f t="shared" si="4"/>
        <v>1369.02</v>
      </c>
      <c r="L85" s="111">
        <f t="shared" si="5"/>
        <v>1369.02</v>
      </c>
      <c r="M85" s="112">
        <f>L85 / M428</f>
        <v>5.170663723326653E-4</v>
      </c>
    </row>
    <row r="86" spans="1:13" ht="24" customHeight="1">
      <c r="A86" s="103" t="s">
        <v>112</v>
      </c>
      <c r="B86" s="103" t="s">
        <v>30</v>
      </c>
      <c r="C86" s="103"/>
      <c r="D86" s="103" t="s">
        <v>562</v>
      </c>
      <c r="E86" s="104"/>
      <c r="F86" s="105">
        <v>1</v>
      </c>
      <c r="G86" s="105" t="s">
        <v>31</v>
      </c>
      <c r="H86" s="105"/>
      <c r="I86" s="106">
        <f>K87 + K88 + K89 + K90 + K91 + K92 + K93 + K94 + K95 + K96 + K97 + K98 + K99 + K100 + K101 + K102</f>
        <v>16020.38</v>
      </c>
      <c r="J86" s="106">
        <f>L87 + L88 + L89 + L90 + L91 + L92 + L93 + L94 + L95 + L96 + L97 + L98 + L99 + L100 + L101 + L102</f>
        <v>16020.38</v>
      </c>
      <c r="K86" s="106">
        <f t="shared" si="4"/>
        <v>16020.38</v>
      </c>
      <c r="L86" s="106">
        <f t="shared" si="5"/>
        <v>16020.38</v>
      </c>
      <c r="M86" s="107">
        <f>L86 / M428</f>
        <v>6.050751464544553E-3</v>
      </c>
    </row>
    <row r="87" spans="1:13" ht="52" customHeight="1">
      <c r="A87" s="108" t="s">
        <v>113</v>
      </c>
      <c r="B87" s="108" t="s">
        <v>563</v>
      </c>
      <c r="C87" s="108" t="s">
        <v>35</v>
      </c>
      <c r="D87" s="108" t="s">
        <v>564</v>
      </c>
      <c r="E87" s="109" t="s">
        <v>36</v>
      </c>
      <c r="F87" s="110">
        <v>2</v>
      </c>
      <c r="G87" s="111">
        <v>1072.33</v>
      </c>
      <c r="H87" s="111">
        <f t="shared" ref="H87:H102" si="6">ROUND(J87/(1+$B$4),2)</f>
        <v>1072.33</v>
      </c>
      <c r="I87" s="111">
        <f>TRUNC(TRUNC(G87 * B4, 2) + G87, 2)</f>
        <v>1296.8699999999999</v>
      </c>
      <c r="J87" s="111">
        <f t="shared" ref="J87:J102" si="7">TRUNC(L87/F87,4)</f>
        <v>1296.8699999999999</v>
      </c>
      <c r="K87" s="111">
        <f t="shared" si="4"/>
        <v>2593.7399999999998</v>
      </c>
      <c r="L87" s="111">
        <f t="shared" si="5"/>
        <v>2593.7399999999998</v>
      </c>
      <c r="M87" s="112">
        <f>L87 / M428</f>
        <v>9.79631950281316E-4</v>
      </c>
    </row>
    <row r="88" spans="1:13" ht="39" customHeight="1">
      <c r="A88" s="113" t="s">
        <v>114</v>
      </c>
      <c r="B88" s="113" t="s">
        <v>391</v>
      </c>
      <c r="C88" s="113" t="s">
        <v>48</v>
      </c>
      <c r="D88" s="113" t="s">
        <v>392</v>
      </c>
      <c r="E88" s="114" t="s">
        <v>36</v>
      </c>
      <c r="F88" s="115">
        <v>2</v>
      </c>
      <c r="G88" s="116">
        <v>205.58</v>
      </c>
      <c r="H88" s="116">
        <f t="shared" si="6"/>
        <v>205.57</v>
      </c>
      <c r="I88" s="116">
        <f>TRUNC(TRUNC(G88 * B4, 2) + G88, 2)</f>
        <v>248.62</v>
      </c>
      <c r="J88" s="116">
        <f t="shared" si="7"/>
        <v>248.62</v>
      </c>
      <c r="K88" s="116">
        <f t="shared" si="4"/>
        <v>497.24</v>
      </c>
      <c r="L88" s="116">
        <f t="shared" si="5"/>
        <v>497.24</v>
      </c>
      <c r="M88" s="117">
        <f>L88 / M428</f>
        <v>1.8780301454960081E-4</v>
      </c>
    </row>
    <row r="89" spans="1:13" ht="26" customHeight="1">
      <c r="A89" s="108" t="s">
        <v>115</v>
      </c>
      <c r="B89" s="108" t="s">
        <v>273</v>
      </c>
      <c r="C89" s="108" t="s">
        <v>48</v>
      </c>
      <c r="D89" s="108" t="s">
        <v>274</v>
      </c>
      <c r="E89" s="109" t="s">
        <v>49</v>
      </c>
      <c r="F89" s="110">
        <v>4.2</v>
      </c>
      <c r="G89" s="111">
        <v>37.42</v>
      </c>
      <c r="H89" s="111">
        <f t="shared" si="6"/>
        <v>37.42</v>
      </c>
      <c r="I89" s="111">
        <f>TRUNC(TRUNC(G89 * B4, 2) + G89, 2)</f>
        <v>45.25</v>
      </c>
      <c r="J89" s="111">
        <f t="shared" si="7"/>
        <v>45.25</v>
      </c>
      <c r="K89" s="111">
        <f t="shared" si="4"/>
        <v>190.05</v>
      </c>
      <c r="L89" s="111">
        <f t="shared" si="5"/>
        <v>190.05</v>
      </c>
      <c r="M89" s="112">
        <f>L89 / M428</f>
        <v>7.1780152270838293E-5</v>
      </c>
    </row>
    <row r="90" spans="1:13" ht="39" customHeight="1">
      <c r="A90" s="108" t="s">
        <v>118</v>
      </c>
      <c r="B90" s="108" t="s">
        <v>565</v>
      </c>
      <c r="C90" s="108" t="s">
        <v>48</v>
      </c>
      <c r="D90" s="108" t="s">
        <v>566</v>
      </c>
      <c r="E90" s="109" t="s">
        <v>63</v>
      </c>
      <c r="F90" s="110">
        <v>88.9</v>
      </c>
      <c r="G90" s="111">
        <v>25.69</v>
      </c>
      <c r="H90" s="111">
        <f t="shared" si="6"/>
        <v>25.68</v>
      </c>
      <c r="I90" s="111">
        <f>TRUNC(TRUNC(G90 * B4, 2) + G90, 2)</f>
        <v>31.06</v>
      </c>
      <c r="J90" s="111">
        <f t="shared" si="7"/>
        <v>31.059899999999999</v>
      </c>
      <c r="K90" s="111">
        <f t="shared" si="4"/>
        <v>2761.23</v>
      </c>
      <c r="L90" s="111">
        <f t="shared" si="5"/>
        <v>2761.23</v>
      </c>
      <c r="M90" s="112">
        <f>L90 / M428</f>
        <v>1.0428913962368157E-3</v>
      </c>
    </row>
    <row r="91" spans="1:13" ht="39" customHeight="1">
      <c r="A91" s="108" t="s">
        <v>119</v>
      </c>
      <c r="B91" s="108" t="s">
        <v>567</v>
      </c>
      <c r="C91" s="108" t="s">
        <v>48</v>
      </c>
      <c r="D91" s="108" t="s">
        <v>568</v>
      </c>
      <c r="E91" s="109" t="s">
        <v>36</v>
      </c>
      <c r="F91" s="110">
        <v>42</v>
      </c>
      <c r="G91" s="111">
        <v>32.83</v>
      </c>
      <c r="H91" s="111">
        <f t="shared" si="6"/>
        <v>32.83</v>
      </c>
      <c r="I91" s="111">
        <f>TRUNC(TRUNC(G91 * B4, 2) + G91, 2)</f>
        <v>39.700000000000003</v>
      </c>
      <c r="J91" s="111">
        <f t="shared" si="7"/>
        <v>39.700000000000003</v>
      </c>
      <c r="K91" s="111">
        <f t="shared" si="4"/>
        <v>1667.4</v>
      </c>
      <c r="L91" s="111">
        <f t="shared" si="5"/>
        <v>1667.4</v>
      </c>
      <c r="M91" s="112">
        <f>L91 / M428</f>
        <v>6.2976177793420561E-4</v>
      </c>
    </row>
    <row r="92" spans="1:13" ht="39" customHeight="1">
      <c r="A92" s="108" t="s">
        <v>569</v>
      </c>
      <c r="B92" s="108" t="s">
        <v>570</v>
      </c>
      <c r="C92" s="108" t="s">
        <v>48</v>
      </c>
      <c r="D92" s="108" t="s">
        <v>571</v>
      </c>
      <c r="E92" s="109" t="s">
        <v>36</v>
      </c>
      <c r="F92" s="110">
        <v>14</v>
      </c>
      <c r="G92" s="111">
        <v>33.270000000000003</v>
      </c>
      <c r="H92" s="111">
        <f t="shared" si="6"/>
        <v>33.26</v>
      </c>
      <c r="I92" s="111">
        <f>TRUNC(TRUNC(G92 * B4, 2) + G92, 2)</f>
        <v>40.229999999999997</v>
      </c>
      <c r="J92" s="111">
        <f t="shared" si="7"/>
        <v>40.229999999999997</v>
      </c>
      <c r="K92" s="111">
        <f t="shared" si="4"/>
        <v>563.22</v>
      </c>
      <c r="L92" s="111">
        <f t="shared" si="5"/>
        <v>563.22</v>
      </c>
      <c r="M92" s="112">
        <f>L92 / M428</f>
        <v>2.1272305899490421E-4</v>
      </c>
    </row>
    <row r="93" spans="1:13" ht="39" customHeight="1">
      <c r="A93" s="108" t="s">
        <v>572</v>
      </c>
      <c r="B93" s="108" t="s">
        <v>279</v>
      </c>
      <c r="C93" s="108" t="s">
        <v>48</v>
      </c>
      <c r="D93" s="108" t="s">
        <v>280</v>
      </c>
      <c r="E93" s="109" t="s">
        <v>63</v>
      </c>
      <c r="F93" s="110">
        <v>8.6</v>
      </c>
      <c r="G93" s="111">
        <v>72.86</v>
      </c>
      <c r="H93" s="111">
        <f t="shared" si="6"/>
        <v>72.849999999999994</v>
      </c>
      <c r="I93" s="111">
        <f>TRUNC(TRUNC(G93 * B4, 2) + G93, 2)</f>
        <v>88.11</v>
      </c>
      <c r="J93" s="111">
        <f t="shared" si="7"/>
        <v>88.109300000000005</v>
      </c>
      <c r="K93" s="111">
        <f t="shared" si="4"/>
        <v>757.74</v>
      </c>
      <c r="L93" s="111">
        <f t="shared" si="5"/>
        <v>757.74</v>
      </c>
      <c r="M93" s="112">
        <f>L93 / M428</f>
        <v>2.8619148951173381E-4</v>
      </c>
    </row>
    <row r="94" spans="1:13" ht="52" customHeight="1">
      <c r="A94" s="108" t="s">
        <v>573</v>
      </c>
      <c r="B94" s="108" t="s">
        <v>574</v>
      </c>
      <c r="C94" s="108" t="s">
        <v>35</v>
      </c>
      <c r="D94" s="108" t="s">
        <v>575</v>
      </c>
      <c r="E94" s="109" t="s">
        <v>63</v>
      </c>
      <c r="F94" s="110">
        <v>16</v>
      </c>
      <c r="G94" s="111">
        <v>102.16</v>
      </c>
      <c r="H94" s="111">
        <f t="shared" si="6"/>
        <v>102.16</v>
      </c>
      <c r="I94" s="111">
        <f>TRUNC(TRUNC(G94 * B4, 2) + G94, 2)</f>
        <v>123.55</v>
      </c>
      <c r="J94" s="111">
        <f t="shared" si="7"/>
        <v>123.55</v>
      </c>
      <c r="K94" s="111">
        <f t="shared" si="4"/>
        <v>1976.8</v>
      </c>
      <c r="L94" s="111">
        <f t="shared" si="5"/>
        <v>1976.8</v>
      </c>
      <c r="M94" s="112">
        <f>L94 / M428</f>
        <v>7.4661933706389439E-4</v>
      </c>
    </row>
    <row r="95" spans="1:13" ht="24" customHeight="1">
      <c r="A95" s="113" t="s">
        <v>576</v>
      </c>
      <c r="B95" s="113" t="s">
        <v>577</v>
      </c>
      <c r="C95" s="113" t="s">
        <v>389</v>
      </c>
      <c r="D95" s="113" t="s">
        <v>578</v>
      </c>
      <c r="E95" s="114" t="s">
        <v>36</v>
      </c>
      <c r="F95" s="115">
        <v>8</v>
      </c>
      <c r="G95" s="116">
        <v>35.25</v>
      </c>
      <c r="H95" s="116">
        <f t="shared" si="6"/>
        <v>35.25</v>
      </c>
      <c r="I95" s="116">
        <f>TRUNC(TRUNC(G95 * B4, 2) + G95, 2)</f>
        <v>42.63</v>
      </c>
      <c r="J95" s="116">
        <f t="shared" si="7"/>
        <v>42.63</v>
      </c>
      <c r="K95" s="116">
        <f t="shared" si="4"/>
        <v>341.04</v>
      </c>
      <c r="L95" s="116">
        <f t="shared" si="5"/>
        <v>341.04</v>
      </c>
      <c r="M95" s="117">
        <f>L95 / M428</f>
        <v>1.2880769866059822E-4</v>
      </c>
    </row>
    <row r="96" spans="1:13" ht="39" customHeight="1">
      <c r="A96" s="108" t="s">
        <v>579</v>
      </c>
      <c r="B96" s="108" t="s">
        <v>580</v>
      </c>
      <c r="C96" s="108" t="s">
        <v>48</v>
      </c>
      <c r="D96" s="108" t="s">
        <v>581</v>
      </c>
      <c r="E96" s="109" t="s">
        <v>63</v>
      </c>
      <c r="F96" s="110">
        <v>11.4</v>
      </c>
      <c r="G96" s="111">
        <v>131.22999999999999</v>
      </c>
      <c r="H96" s="111">
        <f t="shared" si="6"/>
        <v>131.22</v>
      </c>
      <c r="I96" s="111">
        <f>TRUNC(TRUNC(G96 * B4, 2) + G96, 2)</f>
        <v>158.69999999999999</v>
      </c>
      <c r="J96" s="111">
        <f t="shared" si="7"/>
        <v>158.69999999999999</v>
      </c>
      <c r="K96" s="111">
        <f t="shared" si="4"/>
        <v>1809.18</v>
      </c>
      <c r="L96" s="111">
        <f t="shared" si="5"/>
        <v>1809.18</v>
      </c>
      <c r="M96" s="112">
        <f>L96 / M428</f>
        <v>6.8331079129363447E-4</v>
      </c>
    </row>
    <row r="97" spans="1:13" ht="39" customHeight="1">
      <c r="A97" s="108" t="s">
        <v>582</v>
      </c>
      <c r="B97" s="108" t="s">
        <v>583</v>
      </c>
      <c r="C97" s="108" t="s">
        <v>48</v>
      </c>
      <c r="D97" s="108" t="s">
        <v>584</v>
      </c>
      <c r="E97" s="109" t="s">
        <v>36</v>
      </c>
      <c r="F97" s="110">
        <v>2</v>
      </c>
      <c r="G97" s="111">
        <v>33.869999999999997</v>
      </c>
      <c r="H97" s="111">
        <f t="shared" si="6"/>
        <v>33.869999999999997</v>
      </c>
      <c r="I97" s="111">
        <f>TRUNC(TRUNC(G97 * B4, 2) + G97, 2)</f>
        <v>40.96</v>
      </c>
      <c r="J97" s="111">
        <f t="shared" si="7"/>
        <v>40.96</v>
      </c>
      <c r="K97" s="111">
        <f t="shared" si="4"/>
        <v>81.92</v>
      </c>
      <c r="L97" s="111">
        <f t="shared" si="5"/>
        <v>81.92</v>
      </c>
      <c r="M97" s="112">
        <f>L97 / M428</f>
        <v>3.0940437116690729E-5</v>
      </c>
    </row>
    <row r="98" spans="1:13" ht="39" customHeight="1">
      <c r="A98" s="108" t="s">
        <v>585</v>
      </c>
      <c r="B98" s="108" t="s">
        <v>586</v>
      </c>
      <c r="C98" s="108" t="s">
        <v>48</v>
      </c>
      <c r="D98" s="108" t="s">
        <v>587</v>
      </c>
      <c r="E98" s="109" t="s">
        <v>36</v>
      </c>
      <c r="F98" s="110">
        <v>2</v>
      </c>
      <c r="G98" s="111">
        <v>40.29</v>
      </c>
      <c r="H98" s="111">
        <f t="shared" si="6"/>
        <v>40.28</v>
      </c>
      <c r="I98" s="111">
        <f>TRUNC(TRUNC(G98 * B4, 2) + G98, 2)</f>
        <v>48.72</v>
      </c>
      <c r="J98" s="111">
        <f t="shared" si="7"/>
        <v>48.72</v>
      </c>
      <c r="K98" s="111">
        <f t="shared" si="4"/>
        <v>97.44</v>
      </c>
      <c r="L98" s="111">
        <f t="shared" si="5"/>
        <v>97.44</v>
      </c>
      <c r="M98" s="112">
        <f>L98 / M428</f>
        <v>3.6802199617313779E-5</v>
      </c>
    </row>
    <row r="99" spans="1:13" ht="24" customHeight="1">
      <c r="A99" s="108" t="s">
        <v>588</v>
      </c>
      <c r="B99" s="108" t="s">
        <v>100</v>
      </c>
      <c r="C99" s="108" t="s">
        <v>48</v>
      </c>
      <c r="D99" s="108" t="s">
        <v>539</v>
      </c>
      <c r="E99" s="109" t="s">
        <v>63</v>
      </c>
      <c r="F99" s="110">
        <v>36</v>
      </c>
      <c r="G99" s="111">
        <v>10.16</v>
      </c>
      <c r="H99" s="111">
        <f t="shared" si="6"/>
        <v>10.15</v>
      </c>
      <c r="I99" s="111">
        <f>TRUNC(TRUNC(G99 * B4, 2) + G99, 2)</f>
        <v>12.28</v>
      </c>
      <c r="J99" s="111">
        <f t="shared" si="7"/>
        <v>12.28</v>
      </c>
      <c r="K99" s="111">
        <f t="shared" si="4"/>
        <v>442.08</v>
      </c>
      <c r="L99" s="111">
        <f t="shared" si="5"/>
        <v>442.08</v>
      </c>
      <c r="M99" s="112">
        <f>L99 / M428</f>
        <v>1.6696958545589155E-4</v>
      </c>
    </row>
    <row r="100" spans="1:13" ht="65" customHeight="1">
      <c r="A100" s="108" t="s">
        <v>589</v>
      </c>
      <c r="B100" s="108" t="s">
        <v>106</v>
      </c>
      <c r="C100" s="108" t="s">
        <v>48</v>
      </c>
      <c r="D100" s="108" t="s">
        <v>549</v>
      </c>
      <c r="E100" s="109" t="s">
        <v>70</v>
      </c>
      <c r="F100" s="110">
        <v>8.64</v>
      </c>
      <c r="G100" s="111">
        <v>7.01</v>
      </c>
      <c r="H100" s="111">
        <f t="shared" si="6"/>
        <v>7</v>
      </c>
      <c r="I100" s="111">
        <f>TRUNC(TRUNC(G100 * B4, 2) + G100, 2)</f>
        <v>8.4700000000000006</v>
      </c>
      <c r="J100" s="111">
        <f t="shared" si="7"/>
        <v>8.4699000000000009</v>
      </c>
      <c r="K100" s="111">
        <f t="shared" si="4"/>
        <v>73.180000000000007</v>
      </c>
      <c r="L100" s="111">
        <f t="shared" si="5"/>
        <v>73.180000000000007</v>
      </c>
      <c r="M100" s="112">
        <f>L100 / M428</f>
        <v>2.7639418801262544E-5</v>
      </c>
    </row>
    <row r="101" spans="1:13" ht="26" customHeight="1">
      <c r="A101" s="108" t="s">
        <v>590</v>
      </c>
      <c r="B101" s="108" t="s">
        <v>109</v>
      </c>
      <c r="C101" s="108" t="s">
        <v>48</v>
      </c>
      <c r="D101" s="108" t="s">
        <v>110</v>
      </c>
      <c r="E101" s="109" t="s">
        <v>49</v>
      </c>
      <c r="F101" s="110">
        <v>216</v>
      </c>
      <c r="G101" s="111">
        <v>7.36</v>
      </c>
      <c r="H101" s="111">
        <f t="shared" si="6"/>
        <v>7.36</v>
      </c>
      <c r="I101" s="111">
        <f>TRUNC(TRUNC(G101 * B4, 2) + G101, 2)</f>
        <v>8.9</v>
      </c>
      <c r="J101" s="111">
        <f t="shared" si="7"/>
        <v>8.9</v>
      </c>
      <c r="K101" s="111">
        <f t="shared" si="4"/>
        <v>1922.4</v>
      </c>
      <c r="L101" s="111">
        <f t="shared" si="5"/>
        <v>1922.4</v>
      </c>
      <c r="M101" s="112">
        <f>L101 / M428</f>
        <v>7.2607295304109203E-4</v>
      </c>
    </row>
    <row r="102" spans="1:13" ht="26" customHeight="1">
      <c r="A102" s="108" t="s">
        <v>591</v>
      </c>
      <c r="B102" s="108" t="s">
        <v>592</v>
      </c>
      <c r="C102" s="108" t="s">
        <v>48</v>
      </c>
      <c r="D102" s="108" t="s">
        <v>593</v>
      </c>
      <c r="E102" s="109" t="s">
        <v>70</v>
      </c>
      <c r="F102" s="110">
        <v>8.2100000000000009</v>
      </c>
      <c r="G102" s="111">
        <v>24.75</v>
      </c>
      <c r="H102" s="111">
        <f t="shared" si="6"/>
        <v>24.75</v>
      </c>
      <c r="I102" s="111">
        <f>TRUNC(TRUNC(G102 * B4, 2) + G102, 2)</f>
        <v>29.93</v>
      </c>
      <c r="J102" s="111">
        <f t="shared" si="7"/>
        <v>29.929300000000001</v>
      </c>
      <c r="K102" s="111">
        <f t="shared" si="4"/>
        <v>245.72</v>
      </c>
      <c r="L102" s="111">
        <f t="shared" si="5"/>
        <v>245.72</v>
      </c>
      <c r="M102" s="112">
        <f>L102 / M428</f>
        <v>9.2806203714761306E-5</v>
      </c>
    </row>
    <row r="103" spans="1:13" ht="24" customHeight="1">
      <c r="A103" s="103" t="s">
        <v>120</v>
      </c>
      <c r="B103" s="103" t="s">
        <v>30</v>
      </c>
      <c r="C103" s="103"/>
      <c r="D103" s="103" t="s">
        <v>594</v>
      </c>
      <c r="E103" s="104"/>
      <c r="F103" s="105">
        <v>1</v>
      </c>
      <c r="G103" s="105" t="s">
        <v>31</v>
      </c>
      <c r="H103" s="105"/>
      <c r="I103" s="106">
        <f>K104 + K105 + K106 + K107 + K108 + K109 + K110</f>
        <v>21261.599999999999</v>
      </c>
      <c r="J103" s="106">
        <f>L104 + L105 + L106 + L107 + L108 + L109 + L110</f>
        <v>21261.599999999999</v>
      </c>
      <c r="K103" s="106">
        <f t="shared" si="4"/>
        <v>21261.599999999999</v>
      </c>
      <c r="L103" s="106">
        <f t="shared" si="5"/>
        <v>21261.599999999999</v>
      </c>
      <c r="M103" s="107">
        <f>L103 / M428</f>
        <v>8.0303124731473576E-3</v>
      </c>
    </row>
    <row r="104" spans="1:13" ht="39" customHeight="1">
      <c r="A104" s="108" t="s">
        <v>121</v>
      </c>
      <c r="B104" s="108" t="s">
        <v>595</v>
      </c>
      <c r="C104" s="108" t="s">
        <v>35</v>
      </c>
      <c r="D104" s="108" t="s">
        <v>596</v>
      </c>
      <c r="E104" s="109" t="s">
        <v>70</v>
      </c>
      <c r="F104" s="110">
        <v>5.21</v>
      </c>
      <c r="G104" s="111">
        <v>621.51</v>
      </c>
      <c r="H104" s="111">
        <f t="shared" ref="H104:H110" si="8">ROUND(J104/(1+$B$4),2)</f>
        <v>621.51</v>
      </c>
      <c r="I104" s="111">
        <f>TRUNC(TRUNC(G104 * B4, 2) + G104, 2)</f>
        <v>751.65</v>
      </c>
      <c r="J104" s="111">
        <f t="shared" ref="J104:J110" si="9">TRUNC(L104/F104,4)</f>
        <v>751.64869999999996</v>
      </c>
      <c r="K104" s="111">
        <f t="shared" si="4"/>
        <v>3916.09</v>
      </c>
      <c r="L104" s="111">
        <f t="shared" si="5"/>
        <v>3916.09</v>
      </c>
      <c r="M104" s="112">
        <f>L104 / M428</f>
        <v>1.4790714891150074E-3</v>
      </c>
    </row>
    <row r="105" spans="1:13" ht="26" customHeight="1">
      <c r="A105" s="108" t="s">
        <v>126</v>
      </c>
      <c r="B105" s="108" t="s">
        <v>247</v>
      </c>
      <c r="C105" s="108" t="s">
        <v>48</v>
      </c>
      <c r="D105" s="108" t="s">
        <v>597</v>
      </c>
      <c r="E105" s="109" t="s">
        <v>70</v>
      </c>
      <c r="F105" s="110">
        <v>8.6999999999999993</v>
      </c>
      <c r="G105" s="111">
        <v>98.65</v>
      </c>
      <c r="H105" s="111">
        <f t="shared" si="8"/>
        <v>98.64</v>
      </c>
      <c r="I105" s="111">
        <f>TRUNC(TRUNC(G105 * B4, 2) + G105, 2)</f>
        <v>119.3</v>
      </c>
      <c r="J105" s="111">
        <f t="shared" si="9"/>
        <v>119.3</v>
      </c>
      <c r="K105" s="111">
        <f t="shared" si="4"/>
        <v>1037.9100000000001</v>
      </c>
      <c r="L105" s="111">
        <f t="shared" si="5"/>
        <v>1037.9100000000001</v>
      </c>
      <c r="M105" s="112">
        <f>L105 / M428</f>
        <v>3.920091441379941E-4</v>
      </c>
    </row>
    <row r="106" spans="1:13" ht="26" customHeight="1">
      <c r="A106" s="108" t="s">
        <v>598</v>
      </c>
      <c r="B106" s="108" t="s">
        <v>249</v>
      </c>
      <c r="C106" s="108" t="s">
        <v>48</v>
      </c>
      <c r="D106" s="108" t="s">
        <v>250</v>
      </c>
      <c r="E106" s="109" t="s">
        <v>70</v>
      </c>
      <c r="F106" s="110">
        <v>1.96</v>
      </c>
      <c r="G106" s="111">
        <v>28.45</v>
      </c>
      <c r="H106" s="111">
        <f t="shared" si="8"/>
        <v>28.44</v>
      </c>
      <c r="I106" s="111">
        <f>TRUNC(TRUNC(G106 * B4, 2) + G106, 2)</f>
        <v>34.4</v>
      </c>
      <c r="J106" s="111">
        <f t="shared" si="9"/>
        <v>34.3979</v>
      </c>
      <c r="K106" s="111">
        <f t="shared" si="4"/>
        <v>67.42</v>
      </c>
      <c r="L106" s="111">
        <f t="shared" si="5"/>
        <v>67.42</v>
      </c>
      <c r="M106" s="112">
        <f>L106 / M428</f>
        <v>2.5463919316495227E-5</v>
      </c>
    </row>
    <row r="107" spans="1:13" ht="65" customHeight="1">
      <c r="A107" s="108" t="s">
        <v>599</v>
      </c>
      <c r="B107" s="108" t="s">
        <v>600</v>
      </c>
      <c r="C107" s="108" t="s">
        <v>35</v>
      </c>
      <c r="D107" s="108" t="s">
        <v>601</v>
      </c>
      <c r="E107" s="109" t="s">
        <v>205</v>
      </c>
      <c r="F107" s="110">
        <v>68</v>
      </c>
      <c r="G107" s="111">
        <v>82.21</v>
      </c>
      <c r="H107" s="111">
        <f t="shared" si="8"/>
        <v>82.21</v>
      </c>
      <c r="I107" s="111">
        <f>TRUNC(TRUNC(G107 * B4, 2) + G107, 2)</f>
        <v>99.42</v>
      </c>
      <c r="J107" s="111">
        <f t="shared" si="9"/>
        <v>99.42</v>
      </c>
      <c r="K107" s="111">
        <f t="shared" si="4"/>
        <v>6760.56</v>
      </c>
      <c r="L107" s="111">
        <f t="shared" si="5"/>
        <v>6760.56</v>
      </c>
      <c r="M107" s="112">
        <f>L107 / M428</f>
        <v>2.5534018744337731E-3</v>
      </c>
    </row>
    <row r="108" spans="1:13" ht="26" customHeight="1">
      <c r="A108" s="108" t="s">
        <v>602</v>
      </c>
      <c r="B108" s="108" t="s">
        <v>603</v>
      </c>
      <c r="C108" s="108" t="s">
        <v>35</v>
      </c>
      <c r="D108" s="108" t="s">
        <v>604</v>
      </c>
      <c r="E108" s="109" t="s">
        <v>49</v>
      </c>
      <c r="F108" s="110">
        <v>40.799999999999997</v>
      </c>
      <c r="G108" s="111">
        <v>22.81</v>
      </c>
      <c r="H108" s="111">
        <f t="shared" si="8"/>
        <v>22.8</v>
      </c>
      <c r="I108" s="111">
        <f>TRUNC(TRUNC(G108 * B4, 2) + G108, 2)</f>
        <v>27.58</v>
      </c>
      <c r="J108" s="111">
        <f t="shared" si="9"/>
        <v>27.579899999999999</v>
      </c>
      <c r="K108" s="111">
        <f t="shared" si="4"/>
        <v>1125.26</v>
      </c>
      <c r="L108" s="111">
        <f t="shared" si="5"/>
        <v>1125.26</v>
      </c>
      <c r="M108" s="112">
        <f>L108 / M428</f>
        <v>4.2500044274813734E-4</v>
      </c>
    </row>
    <row r="109" spans="1:13" ht="39" customHeight="1">
      <c r="A109" s="108" t="s">
        <v>605</v>
      </c>
      <c r="B109" s="108" t="s">
        <v>606</v>
      </c>
      <c r="C109" s="108" t="s">
        <v>35</v>
      </c>
      <c r="D109" s="108" t="s">
        <v>607</v>
      </c>
      <c r="E109" s="109" t="s">
        <v>49</v>
      </c>
      <c r="F109" s="110">
        <v>88.03</v>
      </c>
      <c r="G109" s="111">
        <v>55.64</v>
      </c>
      <c r="H109" s="111">
        <f t="shared" si="8"/>
        <v>55.64</v>
      </c>
      <c r="I109" s="111">
        <f>TRUNC(TRUNC(G109 * B4, 2) + G109, 2)</f>
        <v>67.290000000000006</v>
      </c>
      <c r="J109" s="111">
        <f t="shared" si="9"/>
        <v>67.289900000000003</v>
      </c>
      <c r="K109" s="111">
        <f t="shared" si="4"/>
        <v>5923.53</v>
      </c>
      <c r="L109" s="111">
        <f t="shared" si="5"/>
        <v>5923.53</v>
      </c>
      <c r="M109" s="112">
        <f>L109 / M428</f>
        <v>2.2372632748270389E-3</v>
      </c>
    </row>
    <row r="110" spans="1:13" ht="26" customHeight="1">
      <c r="A110" s="108" t="s">
        <v>608</v>
      </c>
      <c r="B110" s="108" t="s">
        <v>273</v>
      </c>
      <c r="C110" s="108" t="s">
        <v>48</v>
      </c>
      <c r="D110" s="108" t="s">
        <v>274</v>
      </c>
      <c r="E110" s="109" t="s">
        <v>49</v>
      </c>
      <c r="F110" s="110">
        <v>53.72</v>
      </c>
      <c r="G110" s="111">
        <v>37.42</v>
      </c>
      <c r="H110" s="111">
        <f t="shared" si="8"/>
        <v>37.42</v>
      </c>
      <c r="I110" s="111">
        <f>TRUNC(TRUNC(G110 * B4, 2) + G110, 2)</f>
        <v>45.25</v>
      </c>
      <c r="J110" s="111">
        <f t="shared" si="9"/>
        <v>45.25</v>
      </c>
      <c r="K110" s="111">
        <f t="shared" si="4"/>
        <v>2430.83</v>
      </c>
      <c r="L110" s="111">
        <f t="shared" si="5"/>
        <v>2430.83</v>
      </c>
      <c r="M110" s="112">
        <f>L110 / M428</f>
        <v>9.181023285689126E-4</v>
      </c>
    </row>
    <row r="111" spans="1:13" ht="24" customHeight="1">
      <c r="A111" s="103" t="s">
        <v>609</v>
      </c>
      <c r="B111" s="103" t="s">
        <v>30</v>
      </c>
      <c r="C111" s="103"/>
      <c r="D111" s="103" t="s">
        <v>610</v>
      </c>
      <c r="E111" s="104"/>
      <c r="F111" s="105">
        <v>1</v>
      </c>
      <c r="G111" s="105" t="s">
        <v>31</v>
      </c>
      <c r="H111" s="105"/>
      <c r="I111" s="106">
        <f>K112 + K113 + K114 + K115 + K116 + K117</f>
        <v>3509.26</v>
      </c>
      <c r="J111" s="106">
        <f>L112 + L113 + L114 + L115 + L116 + L117</f>
        <v>3509.26</v>
      </c>
      <c r="K111" s="106">
        <f t="shared" si="4"/>
        <v>3509.26</v>
      </c>
      <c r="L111" s="106">
        <f t="shared" si="5"/>
        <v>3509.26</v>
      </c>
      <c r="M111" s="107">
        <f>L111 / M428</f>
        <v>1.3254155072768324E-3</v>
      </c>
    </row>
    <row r="112" spans="1:13" ht="39" customHeight="1">
      <c r="A112" s="108" t="s">
        <v>611</v>
      </c>
      <c r="B112" s="108" t="s">
        <v>612</v>
      </c>
      <c r="C112" s="108" t="s">
        <v>48</v>
      </c>
      <c r="D112" s="108" t="s">
        <v>613</v>
      </c>
      <c r="E112" s="109" t="s">
        <v>63</v>
      </c>
      <c r="F112" s="110">
        <v>18.899999999999999</v>
      </c>
      <c r="G112" s="111">
        <v>44.23</v>
      </c>
      <c r="H112" s="111">
        <f t="shared" ref="H112:H117" si="10">ROUND(J112/(1+$B$4),2)</f>
        <v>44.23</v>
      </c>
      <c r="I112" s="111">
        <f>TRUNC(TRUNC(G112 * B4, 2) + G112, 2)</f>
        <v>53.49</v>
      </c>
      <c r="J112" s="111">
        <f t="shared" ref="J112:J117" si="11">TRUNC(L112/F112,4)</f>
        <v>53.489899999999999</v>
      </c>
      <c r="K112" s="111">
        <f t="shared" si="4"/>
        <v>1010.96</v>
      </c>
      <c r="L112" s="111">
        <f t="shared" si="5"/>
        <v>1010.96</v>
      </c>
      <c r="M112" s="112">
        <f>L112 / M428</f>
        <v>3.8183037484728591E-4</v>
      </c>
    </row>
    <row r="113" spans="1:13" ht="39" customHeight="1">
      <c r="A113" s="108" t="s">
        <v>614</v>
      </c>
      <c r="B113" s="108" t="s">
        <v>265</v>
      </c>
      <c r="C113" s="108" t="s">
        <v>48</v>
      </c>
      <c r="D113" s="108" t="s">
        <v>266</v>
      </c>
      <c r="E113" s="109" t="s">
        <v>36</v>
      </c>
      <c r="F113" s="110">
        <v>2</v>
      </c>
      <c r="G113" s="111">
        <v>512.46</v>
      </c>
      <c r="H113" s="111">
        <f t="shared" si="10"/>
        <v>512.45000000000005</v>
      </c>
      <c r="I113" s="111">
        <f>TRUNC(TRUNC(G113 * B4, 2) + G113, 2)</f>
        <v>619.76</v>
      </c>
      <c r="J113" s="111">
        <f t="shared" si="11"/>
        <v>619.76</v>
      </c>
      <c r="K113" s="111">
        <f t="shared" si="4"/>
        <v>1239.52</v>
      </c>
      <c r="L113" s="111">
        <f t="shared" si="5"/>
        <v>1239.52</v>
      </c>
      <c r="M113" s="112">
        <f>L113 / M428</f>
        <v>4.6815540301367787E-4</v>
      </c>
    </row>
    <row r="114" spans="1:13" ht="39" customHeight="1">
      <c r="A114" s="108" t="s">
        <v>615</v>
      </c>
      <c r="B114" s="108" t="s">
        <v>267</v>
      </c>
      <c r="C114" s="108" t="s">
        <v>48</v>
      </c>
      <c r="D114" s="108" t="s">
        <v>268</v>
      </c>
      <c r="E114" s="109" t="s">
        <v>36</v>
      </c>
      <c r="F114" s="110">
        <v>4</v>
      </c>
      <c r="G114" s="111">
        <v>27.52</v>
      </c>
      <c r="H114" s="111">
        <f t="shared" si="10"/>
        <v>27.52</v>
      </c>
      <c r="I114" s="111">
        <f>TRUNC(TRUNC(G114 * B4, 2) + G114, 2)</f>
        <v>33.28</v>
      </c>
      <c r="J114" s="111">
        <f t="shared" si="11"/>
        <v>33.28</v>
      </c>
      <c r="K114" s="111">
        <f t="shared" si="4"/>
        <v>133.12</v>
      </c>
      <c r="L114" s="111">
        <f t="shared" si="5"/>
        <v>133.12</v>
      </c>
      <c r="M114" s="112">
        <f>L114 / M428</f>
        <v>5.0278210314622436E-5</v>
      </c>
    </row>
    <row r="115" spans="1:13" ht="65" customHeight="1">
      <c r="A115" s="108" t="s">
        <v>616</v>
      </c>
      <c r="B115" s="108" t="s">
        <v>106</v>
      </c>
      <c r="C115" s="108" t="s">
        <v>48</v>
      </c>
      <c r="D115" s="108" t="s">
        <v>549</v>
      </c>
      <c r="E115" s="109" t="s">
        <v>70</v>
      </c>
      <c r="F115" s="110">
        <v>3.4020000000000001</v>
      </c>
      <c r="G115" s="111">
        <v>7.01</v>
      </c>
      <c r="H115" s="111">
        <f t="shared" si="10"/>
        <v>7</v>
      </c>
      <c r="I115" s="111">
        <f>TRUNC(TRUNC(G115 * B4, 2) + G115, 2)</f>
        <v>8.4700000000000006</v>
      </c>
      <c r="J115" s="111">
        <f t="shared" si="11"/>
        <v>8.4685000000000006</v>
      </c>
      <c r="K115" s="111">
        <f t="shared" si="4"/>
        <v>28.81</v>
      </c>
      <c r="L115" s="111">
        <f t="shared" si="5"/>
        <v>28.81</v>
      </c>
      <c r="M115" s="112">
        <f>L115 / M428</f>
        <v>1.0881274332664305E-5</v>
      </c>
    </row>
    <row r="116" spans="1:13" ht="26" customHeight="1">
      <c r="A116" s="108" t="s">
        <v>617</v>
      </c>
      <c r="B116" s="108" t="s">
        <v>109</v>
      </c>
      <c r="C116" s="108" t="s">
        <v>48</v>
      </c>
      <c r="D116" s="108" t="s">
        <v>110</v>
      </c>
      <c r="E116" s="109" t="s">
        <v>49</v>
      </c>
      <c r="F116" s="110">
        <v>113.4</v>
      </c>
      <c r="G116" s="111">
        <v>7.36</v>
      </c>
      <c r="H116" s="111">
        <f t="shared" si="10"/>
        <v>7.36</v>
      </c>
      <c r="I116" s="111">
        <f>TRUNC(TRUNC(G116 * B4, 2) + G116, 2)</f>
        <v>8.9</v>
      </c>
      <c r="J116" s="111">
        <f t="shared" si="11"/>
        <v>8.9</v>
      </c>
      <c r="K116" s="111">
        <f t="shared" si="4"/>
        <v>1009.26</v>
      </c>
      <c r="L116" s="111">
        <f t="shared" si="5"/>
        <v>1009.26</v>
      </c>
      <c r="M116" s="112">
        <f>L116 / M428</f>
        <v>3.8118830034657332E-4</v>
      </c>
    </row>
    <row r="117" spans="1:13" ht="65" customHeight="1">
      <c r="A117" s="108" t="s">
        <v>618</v>
      </c>
      <c r="B117" s="108" t="s">
        <v>551</v>
      </c>
      <c r="C117" s="108" t="s">
        <v>48</v>
      </c>
      <c r="D117" s="108" t="s">
        <v>552</v>
      </c>
      <c r="E117" s="109" t="s">
        <v>70</v>
      </c>
      <c r="F117" s="110">
        <v>3.0617999999999999</v>
      </c>
      <c r="G117" s="111">
        <v>23.66</v>
      </c>
      <c r="H117" s="111">
        <f t="shared" si="10"/>
        <v>23.65</v>
      </c>
      <c r="I117" s="111">
        <f>TRUNC(TRUNC(G117 * B4, 2) + G117, 2)</f>
        <v>28.61</v>
      </c>
      <c r="J117" s="111">
        <f t="shared" si="11"/>
        <v>28.607299999999999</v>
      </c>
      <c r="K117" s="111">
        <f t="shared" si="4"/>
        <v>87.59</v>
      </c>
      <c r="L117" s="111">
        <f t="shared" si="5"/>
        <v>87.59</v>
      </c>
      <c r="M117" s="112">
        <f>L117 / M428</f>
        <v>3.3081944422008558E-5</v>
      </c>
    </row>
    <row r="118" spans="1:13" ht="24" customHeight="1">
      <c r="A118" s="103" t="s">
        <v>10</v>
      </c>
      <c r="B118" s="103" t="s">
        <v>30</v>
      </c>
      <c r="C118" s="103"/>
      <c r="D118" s="103" t="s">
        <v>440</v>
      </c>
      <c r="E118" s="104"/>
      <c r="F118" s="105">
        <v>1</v>
      </c>
      <c r="G118" s="105" t="s">
        <v>31</v>
      </c>
      <c r="H118" s="105"/>
      <c r="I118" s="106">
        <f>K119 + K141 + K153 + K163</f>
        <v>661415.1100000001</v>
      </c>
      <c r="J118" s="106">
        <f>L119 + L141 + L153 + L163</f>
        <v>661415.1100000001</v>
      </c>
      <c r="K118" s="106">
        <f t="shared" si="4"/>
        <v>661415.11</v>
      </c>
      <c r="L118" s="106">
        <f t="shared" si="5"/>
        <v>661415.11</v>
      </c>
      <c r="M118" s="107">
        <f>L118 / M428</f>
        <v>0.24981045677470801</v>
      </c>
    </row>
    <row r="119" spans="1:13" ht="24" customHeight="1">
      <c r="A119" s="103" t="s">
        <v>127</v>
      </c>
      <c r="B119" s="103" t="s">
        <v>30</v>
      </c>
      <c r="C119" s="103"/>
      <c r="D119" s="103" t="s">
        <v>128</v>
      </c>
      <c r="E119" s="104"/>
      <c r="F119" s="105">
        <v>1</v>
      </c>
      <c r="G119" s="105" t="s">
        <v>31</v>
      </c>
      <c r="H119" s="105"/>
      <c r="I119" s="106">
        <f>K120 + K125</f>
        <v>233435.5</v>
      </c>
      <c r="J119" s="106">
        <f>L120 + L125</f>
        <v>233435.5</v>
      </c>
      <c r="K119" s="106">
        <f t="shared" si="4"/>
        <v>233435.5</v>
      </c>
      <c r="L119" s="106">
        <f t="shared" si="5"/>
        <v>233435.5</v>
      </c>
      <c r="M119" s="107">
        <f>L119 / M428</f>
        <v>8.8166460065347396E-2</v>
      </c>
    </row>
    <row r="120" spans="1:13" ht="24" customHeight="1">
      <c r="A120" s="103" t="s">
        <v>129</v>
      </c>
      <c r="B120" s="103" t="s">
        <v>30</v>
      </c>
      <c r="C120" s="103"/>
      <c r="D120" s="103" t="s">
        <v>619</v>
      </c>
      <c r="E120" s="104"/>
      <c r="F120" s="105">
        <v>1</v>
      </c>
      <c r="G120" s="105" t="s">
        <v>31</v>
      </c>
      <c r="H120" s="105"/>
      <c r="I120" s="106">
        <f>K121 + K122 + K123 + K124</f>
        <v>19787.829999999998</v>
      </c>
      <c r="J120" s="106">
        <f>L121 + L122 + L123 + L124</f>
        <v>19787.829999999998</v>
      </c>
      <c r="K120" s="106">
        <f t="shared" si="4"/>
        <v>19787.830000000002</v>
      </c>
      <c r="L120" s="106">
        <f t="shared" si="5"/>
        <v>19787.830000000002</v>
      </c>
      <c r="M120" s="107">
        <f>L120 / M428</f>
        <v>7.4736829808443161E-3</v>
      </c>
    </row>
    <row r="121" spans="1:13" ht="39" customHeight="1">
      <c r="A121" s="108" t="s">
        <v>131</v>
      </c>
      <c r="B121" s="108" t="s">
        <v>620</v>
      </c>
      <c r="C121" s="108" t="s">
        <v>35</v>
      </c>
      <c r="D121" s="108" t="s">
        <v>621</v>
      </c>
      <c r="E121" s="109" t="s">
        <v>63</v>
      </c>
      <c r="F121" s="110">
        <v>123</v>
      </c>
      <c r="G121" s="111">
        <v>86.95</v>
      </c>
      <c r="H121" s="111">
        <f>ROUND(J121/(1+$B$4),2)</f>
        <v>86.94</v>
      </c>
      <c r="I121" s="111">
        <f>TRUNC(TRUNC(G121 * B4, 2) + G121, 2)</f>
        <v>105.15</v>
      </c>
      <c r="J121" s="111">
        <f>TRUNC(L121/F121,4)</f>
        <v>105.15</v>
      </c>
      <c r="K121" s="111">
        <f t="shared" si="4"/>
        <v>12933.45</v>
      </c>
      <c r="L121" s="111">
        <f t="shared" si="5"/>
        <v>12933.45</v>
      </c>
      <c r="M121" s="112">
        <f>L121 / M428</f>
        <v>4.8848461477888636E-3</v>
      </c>
    </row>
    <row r="122" spans="1:13" ht="26" customHeight="1">
      <c r="A122" s="108" t="s">
        <v>132</v>
      </c>
      <c r="B122" s="108" t="s">
        <v>142</v>
      </c>
      <c r="C122" s="108" t="s">
        <v>48</v>
      </c>
      <c r="D122" s="108" t="s">
        <v>143</v>
      </c>
      <c r="E122" s="109" t="s">
        <v>138</v>
      </c>
      <c r="F122" s="110">
        <v>65.36</v>
      </c>
      <c r="G122" s="111">
        <v>16.14</v>
      </c>
      <c r="H122" s="111">
        <f>ROUND(J122/(1+$B$4),2)</f>
        <v>16.13</v>
      </c>
      <c r="I122" s="111">
        <f>TRUNC(TRUNC(G122 * B4, 2) + G122, 2)</f>
        <v>19.510000000000002</v>
      </c>
      <c r="J122" s="111">
        <f>TRUNC(L122/F122,4)</f>
        <v>19.509899999999998</v>
      </c>
      <c r="K122" s="111">
        <f t="shared" si="4"/>
        <v>1275.17</v>
      </c>
      <c r="L122" s="111">
        <f t="shared" si="5"/>
        <v>1275.17</v>
      </c>
      <c r="M122" s="112">
        <f>L122 / M428</f>
        <v>4.8162008298450342E-4</v>
      </c>
    </row>
    <row r="123" spans="1:13" ht="26" customHeight="1">
      <c r="A123" s="108" t="s">
        <v>135</v>
      </c>
      <c r="B123" s="108" t="s">
        <v>622</v>
      </c>
      <c r="C123" s="108" t="s">
        <v>48</v>
      </c>
      <c r="D123" s="108" t="s">
        <v>623</v>
      </c>
      <c r="E123" s="109" t="s">
        <v>138</v>
      </c>
      <c r="F123" s="110">
        <v>389.27</v>
      </c>
      <c r="G123" s="111">
        <v>9.8000000000000007</v>
      </c>
      <c r="H123" s="111">
        <f>ROUND(J123/(1+$B$4),2)</f>
        <v>9.8000000000000007</v>
      </c>
      <c r="I123" s="111">
        <f>TRUNC(TRUNC(G123 * B4, 2) + G123, 2)</f>
        <v>11.85</v>
      </c>
      <c r="J123" s="111">
        <f>TRUNC(L123/F123,4)</f>
        <v>11.8499</v>
      </c>
      <c r="K123" s="111">
        <f t="shared" si="4"/>
        <v>4612.84</v>
      </c>
      <c r="L123" s="111">
        <f t="shared" si="5"/>
        <v>4612.84</v>
      </c>
      <c r="M123" s="112">
        <f>L123 / M428</f>
        <v>1.7422276116864704E-3</v>
      </c>
    </row>
    <row r="124" spans="1:13" ht="26" customHeight="1">
      <c r="A124" s="108" t="s">
        <v>139</v>
      </c>
      <c r="B124" s="108" t="s">
        <v>140</v>
      </c>
      <c r="C124" s="108" t="s">
        <v>48</v>
      </c>
      <c r="D124" s="108" t="s">
        <v>141</v>
      </c>
      <c r="E124" s="109" t="s">
        <v>36</v>
      </c>
      <c r="F124" s="110">
        <v>41</v>
      </c>
      <c r="G124" s="111">
        <v>19.489999999999998</v>
      </c>
      <c r="H124" s="111">
        <f>ROUND(J124/(1+$B$4),2)</f>
        <v>19.489999999999998</v>
      </c>
      <c r="I124" s="111">
        <f>TRUNC(TRUNC(G124 * B4, 2) + G124, 2)</f>
        <v>23.57</v>
      </c>
      <c r="J124" s="111">
        <f>TRUNC(L124/F124,4)</f>
        <v>23.57</v>
      </c>
      <c r="K124" s="111">
        <f t="shared" si="4"/>
        <v>966.37</v>
      </c>
      <c r="L124" s="111">
        <f t="shared" si="5"/>
        <v>966.37</v>
      </c>
      <c r="M124" s="112">
        <f>L124 / M428</f>
        <v>3.6498913838447778E-4</v>
      </c>
    </row>
    <row r="125" spans="1:13" ht="24" customHeight="1">
      <c r="A125" s="103" t="s">
        <v>144</v>
      </c>
      <c r="B125" s="103" t="s">
        <v>30</v>
      </c>
      <c r="C125" s="103"/>
      <c r="D125" s="103" t="s">
        <v>624</v>
      </c>
      <c r="E125" s="104"/>
      <c r="F125" s="105">
        <v>1</v>
      </c>
      <c r="G125" s="105" t="s">
        <v>31</v>
      </c>
      <c r="H125" s="105"/>
      <c r="I125" s="106">
        <f>K126 + K131</f>
        <v>213647.66999999998</v>
      </c>
      <c r="J125" s="106">
        <f>L126 + L131</f>
        <v>213647.66999999998</v>
      </c>
      <c r="K125" s="106">
        <f t="shared" si="4"/>
        <v>213647.67</v>
      </c>
      <c r="L125" s="106">
        <f t="shared" si="5"/>
        <v>213647.67</v>
      </c>
      <c r="M125" s="107">
        <f>L125 / M428</f>
        <v>8.0692777084503078E-2</v>
      </c>
    </row>
    <row r="126" spans="1:13" ht="24" customHeight="1">
      <c r="A126" s="103" t="s">
        <v>145</v>
      </c>
      <c r="B126" s="103" t="s">
        <v>30</v>
      </c>
      <c r="C126" s="103"/>
      <c r="D126" s="103" t="s">
        <v>130</v>
      </c>
      <c r="E126" s="104"/>
      <c r="F126" s="105">
        <v>1</v>
      </c>
      <c r="G126" s="105" t="s">
        <v>31</v>
      </c>
      <c r="H126" s="105"/>
      <c r="I126" s="106">
        <f>K127 + K128 + K129 + K130</f>
        <v>17652.140000000003</v>
      </c>
      <c r="J126" s="106">
        <f>L127 + L128 + L129 + L130</f>
        <v>17652.140000000003</v>
      </c>
      <c r="K126" s="106">
        <f t="shared" si="4"/>
        <v>17652.14</v>
      </c>
      <c r="L126" s="106">
        <f t="shared" si="5"/>
        <v>17652.14</v>
      </c>
      <c r="M126" s="107">
        <f>L126 / M428</f>
        <v>6.6670523394167609E-3</v>
      </c>
    </row>
    <row r="127" spans="1:13" ht="52" customHeight="1">
      <c r="A127" s="108" t="s">
        <v>625</v>
      </c>
      <c r="B127" s="108" t="s">
        <v>133</v>
      </c>
      <c r="C127" s="108" t="s">
        <v>35</v>
      </c>
      <c r="D127" s="108" t="s">
        <v>134</v>
      </c>
      <c r="E127" s="109" t="s">
        <v>63</v>
      </c>
      <c r="F127" s="110">
        <v>144</v>
      </c>
      <c r="G127" s="111">
        <v>65.31</v>
      </c>
      <c r="H127" s="111">
        <f>ROUND(J127/(1+$B$4),2)</f>
        <v>65.31</v>
      </c>
      <c r="I127" s="111">
        <f>TRUNC(TRUNC(G127 * B4, 2) + G127, 2)</f>
        <v>78.98</v>
      </c>
      <c r="J127" s="111">
        <f>TRUNC(L127/F127,4)</f>
        <v>78.98</v>
      </c>
      <c r="K127" s="111">
        <f t="shared" si="4"/>
        <v>11373.12</v>
      </c>
      <c r="L127" s="111">
        <f t="shared" si="5"/>
        <v>11373.12</v>
      </c>
      <c r="M127" s="112">
        <f>L127 / M428</f>
        <v>4.2955237326730671E-3</v>
      </c>
    </row>
    <row r="128" spans="1:13" ht="26" customHeight="1">
      <c r="A128" s="108" t="s">
        <v>626</v>
      </c>
      <c r="B128" s="108" t="s">
        <v>142</v>
      </c>
      <c r="C128" s="108" t="s">
        <v>48</v>
      </c>
      <c r="D128" s="108" t="s">
        <v>143</v>
      </c>
      <c r="E128" s="109" t="s">
        <v>138</v>
      </c>
      <c r="F128" s="110">
        <v>70.73</v>
      </c>
      <c r="G128" s="111">
        <v>16.14</v>
      </c>
      <c r="H128" s="111">
        <f>ROUND(J128/(1+$B$4),2)</f>
        <v>16.13</v>
      </c>
      <c r="I128" s="111">
        <f>TRUNC(TRUNC(G128 * B4, 2) + G128, 2)</f>
        <v>19.510000000000002</v>
      </c>
      <c r="J128" s="111">
        <f>TRUNC(L128/F128,4)</f>
        <v>19.509899999999998</v>
      </c>
      <c r="K128" s="111">
        <f t="shared" si="4"/>
        <v>1379.94</v>
      </c>
      <c r="L128" s="111">
        <f t="shared" si="5"/>
        <v>1379.94</v>
      </c>
      <c r="M128" s="112">
        <f>L128 / M428</f>
        <v>5.2119075677253671E-4</v>
      </c>
    </row>
    <row r="129" spans="1:13" ht="26" customHeight="1">
      <c r="A129" s="108" t="s">
        <v>627</v>
      </c>
      <c r="B129" s="108" t="s">
        <v>622</v>
      </c>
      <c r="C129" s="108" t="s">
        <v>48</v>
      </c>
      <c r="D129" s="108" t="s">
        <v>623</v>
      </c>
      <c r="E129" s="109" t="s">
        <v>138</v>
      </c>
      <c r="F129" s="110">
        <v>341.82</v>
      </c>
      <c r="G129" s="111">
        <v>9.8000000000000007</v>
      </c>
      <c r="H129" s="111">
        <f>ROUND(J129/(1+$B$4),2)</f>
        <v>9.8000000000000007</v>
      </c>
      <c r="I129" s="111">
        <f>TRUNC(TRUNC(G129 * B4, 2) + G129, 2)</f>
        <v>11.85</v>
      </c>
      <c r="J129" s="111">
        <f>TRUNC(L129/F129,4)</f>
        <v>11.8499</v>
      </c>
      <c r="K129" s="111">
        <f t="shared" si="4"/>
        <v>4050.56</v>
      </c>
      <c r="L129" s="111">
        <f t="shared" si="5"/>
        <v>4050.56</v>
      </c>
      <c r="M129" s="112">
        <f>L129 / M428</f>
        <v>1.5298595821213721E-3</v>
      </c>
    </row>
    <row r="130" spans="1:13" ht="26" customHeight="1">
      <c r="A130" s="108" t="s">
        <v>628</v>
      </c>
      <c r="B130" s="108" t="s">
        <v>140</v>
      </c>
      <c r="C130" s="108" t="s">
        <v>48</v>
      </c>
      <c r="D130" s="108" t="s">
        <v>141</v>
      </c>
      <c r="E130" s="109" t="s">
        <v>36</v>
      </c>
      <c r="F130" s="110">
        <v>36</v>
      </c>
      <c r="G130" s="111">
        <v>19.489999999999998</v>
      </c>
      <c r="H130" s="111">
        <f>ROUND(J130/(1+$B$4),2)</f>
        <v>19.489999999999998</v>
      </c>
      <c r="I130" s="111">
        <f>TRUNC(TRUNC(G130 * B4, 2) + G130, 2)</f>
        <v>23.57</v>
      </c>
      <c r="J130" s="111">
        <f>TRUNC(L130/F130,4)</f>
        <v>23.57</v>
      </c>
      <c r="K130" s="111">
        <f t="shared" si="4"/>
        <v>848.52</v>
      </c>
      <c r="L130" s="111">
        <f t="shared" si="5"/>
        <v>848.52</v>
      </c>
      <c r="M130" s="112">
        <f>L130 / M428</f>
        <v>3.2047826784978534E-4</v>
      </c>
    </row>
    <row r="131" spans="1:13" ht="24" customHeight="1">
      <c r="A131" s="103" t="s">
        <v>146</v>
      </c>
      <c r="B131" s="103" t="s">
        <v>30</v>
      </c>
      <c r="C131" s="103"/>
      <c r="D131" s="103" t="s">
        <v>629</v>
      </c>
      <c r="E131" s="104"/>
      <c r="F131" s="105">
        <v>1</v>
      </c>
      <c r="G131" s="105" t="s">
        <v>31</v>
      </c>
      <c r="H131" s="105"/>
      <c r="I131" s="106">
        <f>K132 + K133 + K134 + K135 + K136 + K137 + K138 + K139 + K140</f>
        <v>195995.53</v>
      </c>
      <c r="J131" s="106">
        <f>L132 + L133 + L134 + L135 + L136 + L137 + L138 + L139 + L140</f>
        <v>195995.53</v>
      </c>
      <c r="K131" s="106">
        <f t="shared" si="4"/>
        <v>195995.53</v>
      </c>
      <c r="L131" s="106">
        <f t="shared" si="5"/>
        <v>195995.53</v>
      </c>
      <c r="M131" s="107">
        <f>L131 / M428</f>
        <v>7.4025724745086313E-2</v>
      </c>
    </row>
    <row r="132" spans="1:13" ht="39" customHeight="1">
      <c r="A132" s="108" t="s">
        <v>630</v>
      </c>
      <c r="B132" s="108" t="s">
        <v>165</v>
      </c>
      <c r="C132" s="108" t="s">
        <v>48</v>
      </c>
      <c r="D132" s="108" t="s">
        <v>631</v>
      </c>
      <c r="E132" s="109" t="s">
        <v>70</v>
      </c>
      <c r="F132" s="110">
        <v>76.89</v>
      </c>
      <c r="G132" s="111">
        <v>56.53</v>
      </c>
      <c r="H132" s="111">
        <f t="shared" ref="H132:H140" si="12">ROUND(J132/(1+$B$4),2)</f>
        <v>56.52</v>
      </c>
      <c r="I132" s="111">
        <f>TRUNC(TRUNC(G132 * B4, 2) + G132, 2)</f>
        <v>68.36</v>
      </c>
      <c r="J132" s="111">
        <f t="shared" ref="J132:J140" si="13">TRUNC(L132/F132,4)</f>
        <v>68.359899999999996</v>
      </c>
      <c r="K132" s="111">
        <f t="shared" si="4"/>
        <v>5256.2</v>
      </c>
      <c r="L132" s="111">
        <f t="shared" si="5"/>
        <v>5256.2</v>
      </c>
      <c r="M132" s="112">
        <f>L132 / M428</f>
        <v>1.985218818026731E-3</v>
      </c>
    </row>
    <row r="133" spans="1:13" ht="39" customHeight="1">
      <c r="A133" s="108" t="s">
        <v>632</v>
      </c>
      <c r="B133" s="108" t="s">
        <v>164</v>
      </c>
      <c r="C133" s="108" t="s">
        <v>48</v>
      </c>
      <c r="D133" s="108" t="s">
        <v>633</v>
      </c>
      <c r="E133" s="109" t="s">
        <v>49</v>
      </c>
      <c r="F133" s="110">
        <v>172.48</v>
      </c>
      <c r="G133" s="111">
        <v>71.58</v>
      </c>
      <c r="H133" s="111">
        <f t="shared" si="12"/>
        <v>71.569999999999993</v>
      </c>
      <c r="I133" s="111">
        <f>TRUNC(TRUNC(G133 * B4, 2) + G133, 2)</f>
        <v>86.56</v>
      </c>
      <c r="J133" s="111">
        <f t="shared" si="13"/>
        <v>86.559899999999999</v>
      </c>
      <c r="K133" s="111">
        <f t="shared" si="4"/>
        <v>14929.86</v>
      </c>
      <c r="L133" s="111">
        <f t="shared" si="5"/>
        <v>14929.86</v>
      </c>
      <c r="M133" s="112">
        <f>L133 / M428</f>
        <v>5.6388720030639194E-3</v>
      </c>
    </row>
    <row r="134" spans="1:13" ht="26" customHeight="1">
      <c r="A134" s="108" t="s">
        <v>634</v>
      </c>
      <c r="B134" s="108" t="s">
        <v>149</v>
      </c>
      <c r="C134" s="108" t="s">
        <v>48</v>
      </c>
      <c r="D134" s="108" t="s">
        <v>426</v>
      </c>
      <c r="E134" s="109" t="s">
        <v>138</v>
      </c>
      <c r="F134" s="110">
        <v>236</v>
      </c>
      <c r="G134" s="111">
        <v>20.69</v>
      </c>
      <c r="H134" s="111">
        <f t="shared" si="12"/>
        <v>20.69</v>
      </c>
      <c r="I134" s="111">
        <f>TRUNC(TRUNC(G134 * B4, 2) + G134, 2)</f>
        <v>25.02</v>
      </c>
      <c r="J134" s="111">
        <f t="shared" si="13"/>
        <v>25.02</v>
      </c>
      <c r="K134" s="111">
        <f t="shared" si="4"/>
        <v>5904.72</v>
      </c>
      <c r="L134" s="111">
        <f t="shared" si="5"/>
        <v>5904.72</v>
      </c>
      <c r="M134" s="112">
        <f>L134 / M428</f>
        <v>2.2301589093220958E-3</v>
      </c>
    </row>
    <row r="135" spans="1:13" ht="26" customHeight="1">
      <c r="A135" s="108" t="s">
        <v>635</v>
      </c>
      <c r="B135" s="108" t="s">
        <v>150</v>
      </c>
      <c r="C135" s="108" t="s">
        <v>48</v>
      </c>
      <c r="D135" s="108" t="s">
        <v>636</v>
      </c>
      <c r="E135" s="109" t="s">
        <v>138</v>
      </c>
      <c r="F135" s="110">
        <v>788.1</v>
      </c>
      <c r="G135" s="111">
        <v>13.64</v>
      </c>
      <c r="H135" s="111">
        <f t="shared" si="12"/>
        <v>13.63</v>
      </c>
      <c r="I135" s="111">
        <f>TRUNC(TRUNC(G135 * B4, 2) + G135, 2)</f>
        <v>16.489999999999998</v>
      </c>
      <c r="J135" s="111">
        <f t="shared" si="13"/>
        <v>16.489899999999999</v>
      </c>
      <c r="K135" s="111">
        <f t="shared" si="4"/>
        <v>12995.76</v>
      </c>
      <c r="L135" s="111">
        <f t="shared" si="5"/>
        <v>12995.76</v>
      </c>
      <c r="M135" s="112">
        <f>L135 / M428</f>
        <v>4.9083800666943934E-3</v>
      </c>
    </row>
    <row r="136" spans="1:13" ht="39" customHeight="1">
      <c r="A136" s="108" t="s">
        <v>637</v>
      </c>
      <c r="B136" s="108" t="s">
        <v>169</v>
      </c>
      <c r="C136" s="108" t="s">
        <v>48</v>
      </c>
      <c r="D136" s="108" t="s">
        <v>170</v>
      </c>
      <c r="E136" s="109" t="s">
        <v>138</v>
      </c>
      <c r="F136" s="110">
        <v>3436.1</v>
      </c>
      <c r="G136" s="111">
        <v>12.08</v>
      </c>
      <c r="H136" s="111">
        <f t="shared" si="12"/>
        <v>12.07</v>
      </c>
      <c r="I136" s="111">
        <f>TRUNC(TRUNC(G136 * B4, 2) + G136, 2)</f>
        <v>14.6</v>
      </c>
      <c r="J136" s="111">
        <f t="shared" si="13"/>
        <v>14.6</v>
      </c>
      <c r="K136" s="111">
        <f t="shared" si="4"/>
        <v>50167.06</v>
      </c>
      <c r="L136" s="111">
        <f t="shared" si="5"/>
        <v>50167.06</v>
      </c>
      <c r="M136" s="112">
        <f>L136 / M428</f>
        <v>1.8947641177481087E-2</v>
      </c>
    </row>
    <row r="137" spans="1:13" ht="39" customHeight="1">
      <c r="A137" s="108" t="s">
        <v>638</v>
      </c>
      <c r="B137" s="108" t="s">
        <v>171</v>
      </c>
      <c r="C137" s="108" t="s">
        <v>48</v>
      </c>
      <c r="D137" s="108" t="s">
        <v>172</v>
      </c>
      <c r="E137" s="109" t="s">
        <v>49</v>
      </c>
      <c r="F137" s="110">
        <v>608.53</v>
      </c>
      <c r="G137" s="111">
        <v>2.87</v>
      </c>
      <c r="H137" s="111">
        <f t="shared" si="12"/>
        <v>2.87</v>
      </c>
      <c r="I137" s="111">
        <f>TRUNC(TRUNC(G137 * B4, 2) + G137, 2)</f>
        <v>3.47</v>
      </c>
      <c r="J137" s="111">
        <f t="shared" si="13"/>
        <v>3.4699</v>
      </c>
      <c r="K137" s="111">
        <f t="shared" ref="K137:K200" si="14">TRUNC(F137 * I137,2)</f>
        <v>2111.59</v>
      </c>
      <c r="L137" s="111">
        <f t="shared" si="5"/>
        <v>2111.59</v>
      </c>
      <c r="M137" s="112">
        <f>L137 / M428</f>
        <v>7.9752829115274637E-4</v>
      </c>
    </row>
    <row r="138" spans="1:13" ht="39" customHeight="1">
      <c r="A138" s="108" t="s">
        <v>639</v>
      </c>
      <c r="B138" s="108" t="s">
        <v>640</v>
      </c>
      <c r="C138" s="108" t="s">
        <v>35</v>
      </c>
      <c r="D138" s="108" t="s">
        <v>641</v>
      </c>
      <c r="E138" s="109" t="s">
        <v>70</v>
      </c>
      <c r="F138" s="110">
        <v>101.65</v>
      </c>
      <c r="G138" s="111">
        <v>590.49</v>
      </c>
      <c r="H138" s="111">
        <f t="shared" si="12"/>
        <v>590.48</v>
      </c>
      <c r="I138" s="111">
        <f>TRUNC(TRUNC(G138 * B4, 2) + G138, 2)</f>
        <v>714.13</v>
      </c>
      <c r="J138" s="111">
        <f t="shared" si="13"/>
        <v>714.12990000000002</v>
      </c>
      <c r="K138" s="111">
        <f t="shared" si="14"/>
        <v>72591.31</v>
      </c>
      <c r="L138" s="111">
        <f t="shared" ref="L138:L201" si="15">ROUND((1-$B$6) * K138,2)</f>
        <v>72591.31</v>
      </c>
      <c r="M138" s="112">
        <f>L138 / M428</f>
        <v>2.7417075955483431E-2</v>
      </c>
    </row>
    <row r="139" spans="1:13" ht="39" customHeight="1">
      <c r="A139" s="108" t="s">
        <v>642</v>
      </c>
      <c r="B139" s="108" t="s">
        <v>643</v>
      </c>
      <c r="C139" s="108" t="s">
        <v>48</v>
      </c>
      <c r="D139" s="108" t="s">
        <v>644</v>
      </c>
      <c r="E139" s="109" t="s">
        <v>70</v>
      </c>
      <c r="F139" s="110">
        <v>76.89</v>
      </c>
      <c r="G139" s="111">
        <v>312.47000000000003</v>
      </c>
      <c r="H139" s="111">
        <f t="shared" si="12"/>
        <v>312.47000000000003</v>
      </c>
      <c r="I139" s="111">
        <f>TRUNC(TRUNC(G139 * B4, 2) + G139, 2)</f>
        <v>377.9</v>
      </c>
      <c r="J139" s="111">
        <f t="shared" si="13"/>
        <v>377.8999</v>
      </c>
      <c r="K139" s="111">
        <f t="shared" si="14"/>
        <v>29056.73</v>
      </c>
      <c r="L139" s="111">
        <f t="shared" si="15"/>
        <v>29056.73</v>
      </c>
      <c r="M139" s="112">
        <f>L139 / M428</f>
        <v>1.0974462004170666E-2</v>
      </c>
    </row>
    <row r="140" spans="1:13" ht="26" customHeight="1">
      <c r="A140" s="108" t="s">
        <v>645</v>
      </c>
      <c r="B140" s="108" t="s">
        <v>646</v>
      </c>
      <c r="C140" s="108" t="s">
        <v>35</v>
      </c>
      <c r="D140" s="108" t="s">
        <v>647</v>
      </c>
      <c r="E140" s="109" t="s">
        <v>49</v>
      </c>
      <c r="F140" s="110">
        <v>170.32</v>
      </c>
      <c r="G140" s="111">
        <v>14.48</v>
      </c>
      <c r="H140" s="111">
        <f t="shared" si="12"/>
        <v>14.48</v>
      </c>
      <c r="I140" s="111">
        <f>TRUNC(TRUNC(G140 * B4, 2) + G140, 2)</f>
        <v>17.510000000000002</v>
      </c>
      <c r="J140" s="111">
        <f t="shared" si="13"/>
        <v>17.509899999999998</v>
      </c>
      <c r="K140" s="111">
        <f t="shared" si="14"/>
        <v>2982.3</v>
      </c>
      <c r="L140" s="111">
        <f t="shared" si="15"/>
        <v>2982.3</v>
      </c>
      <c r="M140" s="112">
        <f>L140 / M428</f>
        <v>1.1263875196912446E-3</v>
      </c>
    </row>
    <row r="141" spans="1:13" ht="24" customHeight="1">
      <c r="A141" s="103" t="s">
        <v>151</v>
      </c>
      <c r="B141" s="103" t="s">
        <v>30</v>
      </c>
      <c r="C141" s="103"/>
      <c r="D141" s="103" t="s">
        <v>152</v>
      </c>
      <c r="E141" s="104"/>
      <c r="F141" s="105">
        <v>1</v>
      </c>
      <c r="G141" s="105" t="s">
        <v>31</v>
      </c>
      <c r="H141" s="105"/>
      <c r="I141" s="106">
        <f>K142</f>
        <v>132882.4</v>
      </c>
      <c r="J141" s="106">
        <f>L142</f>
        <v>132882.4</v>
      </c>
      <c r="K141" s="106">
        <f t="shared" si="14"/>
        <v>132882.4</v>
      </c>
      <c r="L141" s="106">
        <f t="shared" si="15"/>
        <v>132882.4</v>
      </c>
      <c r="M141" s="107">
        <f>L141 / M428</f>
        <v>5.0188470960875781E-2</v>
      </c>
    </row>
    <row r="142" spans="1:13" ht="24" customHeight="1">
      <c r="A142" s="103" t="s">
        <v>153</v>
      </c>
      <c r="B142" s="103" t="s">
        <v>30</v>
      </c>
      <c r="C142" s="103"/>
      <c r="D142" s="103" t="s">
        <v>619</v>
      </c>
      <c r="E142" s="104"/>
      <c r="F142" s="105">
        <v>1</v>
      </c>
      <c r="G142" s="105" t="s">
        <v>31</v>
      </c>
      <c r="H142" s="105"/>
      <c r="I142" s="106">
        <f>K143 + K144 + K145 + K146 + K147 + K148 + K149 + K150 + K151 + K152</f>
        <v>132882.40000000002</v>
      </c>
      <c r="J142" s="106">
        <f>L143 + L144 + L145 + L146 + L147 + L148 + L149 + L150 + L151 + L152</f>
        <v>132882.40000000002</v>
      </c>
      <c r="K142" s="106">
        <f t="shared" si="14"/>
        <v>132882.4</v>
      </c>
      <c r="L142" s="106">
        <f t="shared" si="15"/>
        <v>132882.4</v>
      </c>
      <c r="M142" s="107">
        <f>L142 / M428</f>
        <v>5.0188470960875781E-2</v>
      </c>
    </row>
    <row r="143" spans="1:13" ht="52" customHeight="1">
      <c r="A143" s="108" t="s">
        <v>155</v>
      </c>
      <c r="B143" s="108" t="s">
        <v>648</v>
      </c>
      <c r="C143" s="108" t="s">
        <v>48</v>
      </c>
      <c r="D143" s="108" t="s">
        <v>649</v>
      </c>
      <c r="E143" s="109" t="s">
        <v>49</v>
      </c>
      <c r="F143" s="110">
        <v>513.1</v>
      </c>
      <c r="G143" s="111">
        <v>42.61</v>
      </c>
      <c r="H143" s="111">
        <f t="shared" ref="H143:H152" si="16">ROUND(J143/(1+$B$4),2)</f>
        <v>42.61</v>
      </c>
      <c r="I143" s="111">
        <f>TRUNC(TRUNC(G143 * B4, 2) + G143, 2)</f>
        <v>51.53</v>
      </c>
      <c r="J143" s="111">
        <f t="shared" ref="J143:J152" si="17">TRUNC(L143/F143,4)</f>
        <v>51.529899999999998</v>
      </c>
      <c r="K143" s="111">
        <f t="shared" si="14"/>
        <v>26440.04</v>
      </c>
      <c r="L143" s="111">
        <f t="shared" si="15"/>
        <v>26440.04</v>
      </c>
      <c r="M143" s="112">
        <f>L143 / M428</f>
        <v>9.9861620481297309E-3</v>
      </c>
    </row>
    <row r="144" spans="1:13" ht="39" customHeight="1">
      <c r="A144" s="108" t="s">
        <v>156</v>
      </c>
      <c r="B144" s="108" t="s">
        <v>650</v>
      </c>
      <c r="C144" s="108" t="s">
        <v>48</v>
      </c>
      <c r="D144" s="108" t="s">
        <v>651</v>
      </c>
      <c r="E144" s="109" t="s">
        <v>138</v>
      </c>
      <c r="F144" s="110">
        <v>662.64</v>
      </c>
      <c r="G144" s="111">
        <v>17.11</v>
      </c>
      <c r="H144" s="111">
        <f t="shared" si="16"/>
        <v>17.11</v>
      </c>
      <c r="I144" s="111">
        <f>TRUNC(TRUNC(G144 * B4, 2) + G144, 2)</f>
        <v>20.69</v>
      </c>
      <c r="J144" s="111">
        <f t="shared" si="17"/>
        <v>20.689900000000002</v>
      </c>
      <c r="K144" s="111">
        <f t="shared" si="14"/>
        <v>13710.02</v>
      </c>
      <c r="L144" s="111">
        <f t="shared" si="15"/>
        <v>13710.02</v>
      </c>
      <c r="M144" s="112">
        <f>L144 / M428</f>
        <v>5.1781495566231963E-3</v>
      </c>
    </row>
    <row r="145" spans="1:13" ht="39" customHeight="1">
      <c r="A145" s="108" t="s">
        <v>157</v>
      </c>
      <c r="B145" s="108" t="s">
        <v>652</v>
      </c>
      <c r="C145" s="108" t="s">
        <v>48</v>
      </c>
      <c r="D145" s="108" t="s">
        <v>653</v>
      </c>
      <c r="E145" s="109" t="s">
        <v>138</v>
      </c>
      <c r="F145" s="110">
        <v>1586.63</v>
      </c>
      <c r="G145" s="111">
        <v>13.28</v>
      </c>
      <c r="H145" s="111">
        <f t="shared" si="16"/>
        <v>13.28</v>
      </c>
      <c r="I145" s="111">
        <f>TRUNC(TRUNC(G145 * B4, 2) + G145, 2)</f>
        <v>16.059999999999999</v>
      </c>
      <c r="J145" s="111">
        <f t="shared" si="17"/>
        <v>16.059899999999999</v>
      </c>
      <c r="K145" s="111">
        <f t="shared" si="14"/>
        <v>25481.27</v>
      </c>
      <c r="L145" s="111">
        <f t="shared" si="15"/>
        <v>25481.27</v>
      </c>
      <c r="M145" s="112">
        <f>L145 / M428</f>
        <v>9.6240433604543214E-3</v>
      </c>
    </row>
    <row r="146" spans="1:13" ht="39" customHeight="1">
      <c r="A146" s="108" t="s">
        <v>160</v>
      </c>
      <c r="B146" s="108" t="s">
        <v>654</v>
      </c>
      <c r="C146" s="108" t="s">
        <v>48</v>
      </c>
      <c r="D146" s="108" t="s">
        <v>655</v>
      </c>
      <c r="E146" s="109" t="s">
        <v>138</v>
      </c>
      <c r="F146" s="110">
        <v>644.82000000000005</v>
      </c>
      <c r="G146" s="111">
        <v>11.35</v>
      </c>
      <c r="H146" s="111">
        <f t="shared" si="16"/>
        <v>11.34</v>
      </c>
      <c r="I146" s="111">
        <f>TRUNC(TRUNC(G146 * B4, 2) + G146, 2)</f>
        <v>13.72</v>
      </c>
      <c r="J146" s="111">
        <f t="shared" si="17"/>
        <v>13.719900000000001</v>
      </c>
      <c r="K146" s="111">
        <f t="shared" si="14"/>
        <v>8846.93</v>
      </c>
      <c r="L146" s="111">
        <f t="shared" si="15"/>
        <v>8846.93</v>
      </c>
      <c r="M146" s="112">
        <f>L146 / M428</f>
        <v>3.3414048015230069E-3</v>
      </c>
    </row>
    <row r="147" spans="1:13" ht="39" customHeight="1">
      <c r="A147" s="108" t="s">
        <v>161</v>
      </c>
      <c r="B147" s="108" t="s">
        <v>643</v>
      </c>
      <c r="C147" s="108" t="s">
        <v>48</v>
      </c>
      <c r="D147" s="108" t="s">
        <v>644</v>
      </c>
      <c r="E147" s="109" t="s">
        <v>70</v>
      </c>
      <c r="F147" s="110">
        <v>16.11</v>
      </c>
      <c r="G147" s="111">
        <v>312.47000000000003</v>
      </c>
      <c r="H147" s="111">
        <f t="shared" si="16"/>
        <v>312.47000000000003</v>
      </c>
      <c r="I147" s="111">
        <f>TRUNC(TRUNC(G147 * B4, 2) + G147, 2)</f>
        <v>377.9</v>
      </c>
      <c r="J147" s="111">
        <f t="shared" si="17"/>
        <v>377.89940000000001</v>
      </c>
      <c r="K147" s="111">
        <f t="shared" si="14"/>
        <v>6087.96</v>
      </c>
      <c r="L147" s="111">
        <f t="shared" si="15"/>
        <v>6087.96</v>
      </c>
      <c r="M147" s="112">
        <f>L147 / M428</f>
        <v>2.299366986681256E-3</v>
      </c>
    </row>
    <row r="148" spans="1:13" ht="26" customHeight="1">
      <c r="A148" s="108" t="s">
        <v>162</v>
      </c>
      <c r="B148" s="108" t="s">
        <v>646</v>
      </c>
      <c r="C148" s="108" t="s">
        <v>35</v>
      </c>
      <c r="D148" s="108" t="s">
        <v>647</v>
      </c>
      <c r="E148" s="109" t="s">
        <v>49</v>
      </c>
      <c r="F148" s="110">
        <v>322.26</v>
      </c>
      <c r="G148" s="111">
        <v>14.48</v>
      </c>
      <c r="H148" s="111">
        <f t="shared" si="16"/>
        <v>14.48</v>
      </c>
      <c r="I148" s="111">
        <f>TRUNC(TRUNC(G148 * B4, 2) + G148, 2)</f>
        <v>17.510000000000002</v>
      </c>
      <c r="J148" s="111">
        <f t="shared" si="17"/>
        <v>17.509899999999998</v>
      </c>
      <c r="K148" s="111">
        <f t="shared" si="14"/>
        <v>5642.77</v>
      </c>
      <c r="L148" s="111">
        <f t="shared" si="15"/>
        <v>5642.77</v>
      </c>
      <c r="M148" s="112">
        <f>L148 / M428</f>
        <v>2.1312227825799434E-3</v>
      </c>
    </row>
    <row r="149" spans="1:13" ht="39" customHeight="1">
      <c r="A149" s="108" t="s">
        <v>656</v>
      </c>
      <c r="B149" s="108" t="s">
        <v>657</v>
      </c>
      <c r="C149" s="108" t="s">
        <v>48</v>
      </c>
      <c r="D149" s="108" t="s">
        <v>658</v>
      </c>
      <c r="E149" s="109" t="s">
        <v>70</v>
      </c>
      <c r="F149" s="110">
        <v>48.35</v>
      </c>
      <c r="G149" s="111">
        <v>644.54999999999995</v>
      </c>
      <c r="H149" s="111">
        <f t="shared" si="16"/>
        <v>644.54</v>
      </c>
      <c r="I149" s="111">
        <f>TRUNC(TRUNC(G149 * B4, 2) + G149, 2)</f>
        <v>779.51</v>
      </c>
      <c r="J149" s="111">
        <f t="shared" si="17"/>
        <v>779.50980000000004</v>
      </c>
      <c r="K149" s="111">
        <f t="shared" si="14"/>
        <v>37689.300000000003</v>
      </c>
      <c r="L149" s="111">
        <f t="shared" si="15"/>
        <v>37689.300000000003</v>
      </c>
      <c r="M149" s="112">
        <f>L149 / M428</f>
        <v>1.4234904988062645E-2</v>
      </c>
    </row>
    <row r="150" spans="1:13" ht="65" customHeight="1">
      <c r="A150" s="113" t="s">
        <v>659</v>
      </c>
      <c r="B150" s="113" t="s">
        <v>660</v>
      </c>
      <c r="C150" s="113" t="s">
        <v>48</v>
      </c>
      <c r="D150" s="113" t="s">
        <v>661</v>
      </c>
      <c r="E150" s="114" t="s">
        <v>662</v>
      </c>
      <c r="F150" s="115">
        <v>10</v>
      </c>
      <c r="G150" s="116">
        <v>30</v>
      </c>
      <c r="H150" s="116">
        <f t="shared" si="16"/>
        <v>30</v>
      </c>
      <c r="I150" s="116">
        <f>TRUNC(TRUNC(G150 * B4, 2) + G150, 2)</f>
        <v>36.28</v>
      </c>
      <c r="J150" s="116">
        <f t="shared" si="17"/>
        <v>36.28</v>
      </c>
      <c r="K150" s="116">
        <f t="shared" si="14"/>
        <v>362.8</v>
      </c>
      <c r="L150" s="116">
        <f t="shared" si="15"/>
        <v>362.8</v>
      </c>
      <c r="M150" s="117">
        <f>L150 / M428</f>
        <v>1.3702625226971919E-4</v>
      </c>
    </row>
    <row r="151" spans="1:13" ht="26" customHeight="1">
      <c r="A151" s="108" t="s">
        <v>663</v>
      </c>
      <c r="B151" s="108" t="s">
        <v>664</v>
      </c>
      <c r="C151" s="108" t="s">
        <v>48</v>
      </c>
      <c r="D151" s="108" t="s">
        <v>665</v>
      </c>
      <c r="E151" s="109" t="s">
        <v>63</v>
      </c>
      <c r="F151" s="110">
        <v>50</v>
      </c>
      <c r="G151" s="111">
        <v>28.08</v>
      </c>
      <c r="H151" s="111">
        <f t="shared" si="16"/>
        <v>28.07</v>
      </c>
      <c r="I151" s="111">
        <f>TRUNC(TRUNC(G151 * B4, 2) + G151, 2)</f>
        <v>33.950000000000003</v>
      </c>
      <c r="J151" s="111">
        <f t="shared" si="17"/>
        <v>33.950000000000003</v>
      </c>
      <c r="K151" s="111">
        <f t="shared" si="14"/>
        <v>1697.5</v>
      </c>
      <c r="L151" s="111">
        <f t="shared" si="15"/>
        <v>1697.5</v>
      </c>
      <c r="M151" s="112">
        <f>L151 / M428</f>
        <v>6.4113027350564593E-4</v>
      </c>
    </row>
    <row r="152" spans="1:13" ht="26" customHeight="1">
      <c r="A152" s="108" t="s">
        <v>666</v>
      </c>
      <c r="B152" s="108" t="s">
        <v>667</v>
      </c>
      <c r="C152" s="108" t="s">
        <v>48</v>
      </c>
      <c r="D152" s="108" t="s">
        <v>668</v>
      </c>
      <c r="E152" s="109" t="s">
        <v>49</v>
      </c>
      <c r="F152" s="110">
        <v>170.16</v>
      </c>
      <c r="G152" s="111">
        <v>33.65</v>
      </c>
      <c r="H152" s="111">
        <f t="shared" si="16"/>
        <v>33.64</v>
      </c>
      <c r="I152" s="111">
        <f>TRUNC(TRUNC(G152 * B4, 2) + G152, 2)</f>
        <v>40.69</v>
      </c>
      <c r="J152" s="111">
        <f t="shared" si="17"/>
        <v>40.689900000000002</v>
      </c>
      <c r="K152" s="111">
        <f t="shared" si="14"/>
        <v>6923.81</v>
      </c>
      <c r="L152" s="111">
        <f t="shared" si="15"/>
        <v>6923.81</v>
      </c>
      <c r="M152" s="112">
        <f>L152 / M428</f>
        <v>2.615059911046319E-3</v>
      </c>
    </row>
    <row r="153" spans="1:13" ht="24" customHeight="1">
      <c r="A153" s="103" t="s">
        <v>173</v>
      </c>
      <c r="B153" s="103" t="s">
        <v>30</v>
      </c>
      <c r="C153" s="103"/>
      <c r="D153" s="103" t="s">
        <v>174</v>
      </c>
      <c r="E153" s="104"/>
      <c r="F153" s="105">
        <v>1</v>
      </c>
      <c r="G153" s="105" t="s">
        <v>31</v>
      </c>
      <c r="H153" s="105"/>
      <c r="I153" s="106">
        <f>K154 + K155 + K156 + K157 + K158 + K159 + K160 + K161 + K162</f>
        <v>197780.89</v>
      </c>
      <c r="J153" s="106">
        <f>L154 + L155 + L156 + L157 + L158 + L159 + L160 + L161 + L162</f>
        <v>197780.89</v>
      </c>
      <c r="K153" s="106">
        <f t="shared" si="14"/>
        <v>197780.89</v>
      </c>
      <c r="L153" s="106">
        <f t="shared" si="15"/>
        <v>197780.89</v>
      </c>
      <c r="M153" s="107">
        <f>L153 / M428</f>
        <v>7.4700038939552321E-2</v>
      </c>
    </row>
    <row r="154" spans="1:13" ht="52" customHeight="1">
      <c r="A154" s="108" t="s">
        <v>175</v>
      </c>
      <c r="B154" s="108" t="s">
        <v>669</v>
      </c>
      <c r="C154" s="108" t="s">
        <v>35</v>
      </c>
      <c r="D154" s="108" t="s">
        <v>670</v>
      </c>
      <c r="E154" s="109" t="s">
        <v>138</v>
      </c>
      <c r="F154" s="110">
        <v>2434.39</v>
      </c>
      <c r="G154" s="111">
        <v>10.89</v>
      </c>
      <c r="H154" s="111">
        <f t="shared" ref="H154:H162" si="18">ROUND(J154/(1+$B$4),2)</f>
        <v>10.89</v>
      </c>
      <c r="I154" s="111">
        <f>TRUNC(TRUNC(G154 * B4, 2) + G154, 2)</f>
        <v>13.17</v>
      </c>
      <c r="J154" s="111">
        <f t="shared" ref="J154:J162" si="19">TRUNC(L154/F154,4)</f>
        <v>13.1699</v>
      </c>
      <c r="K154" s="111">
        <f t="shared" si="14"/>
        <v>32060.91</v>
      </c>
      <c r="L154" s="111">
        <f t="shared" si="15"/>
        <v>32060.91</v>
      </c>
      <c r="M154" s="112">
        <f>L154 / M428</f>
        <v>1.2109113400376965E-2</v>
      </c>
    </row>
    <row r="155" spans="1:13" ht="65" customHeight="1">
      <c r="A155" s="108" t="s">
        <v>176</v>
      </c>
      <c r="B155" s="108" t="s">
        <v>671</v>
      </c>
      <c r="C155" s="108" t="s">
        <v>35</v>
      </c>
      <c r="D155" s="108" t="s">
        <v>672</v>
      </c>
      <c r="E155" s="109" t="s">
        <v>138</v>
      </c>
      <c r="F155" s="110">
        <v>3085.95</v>
      </c>
      <c r="G155" s="111">
        <v>9.7100000000000009</v>
      </c>
      <c r="H155" s="111">
        <f t="shared" si="18"/>
        <v>9.7100000000000009</v>
      </c>
      <c r="I155" s="111">
        <f>TRUNC(TRUNC(G155 * B4, 2) + G155, 2)</f>
        <v>11.74</v>
      </c>
      <c r="J155" s="111">
        <f t="shared" si="19"/>
        <v>11.7399</v>
      </c>
      <c r="K155" s="111">
        <f t="shared" si="14"/>
        <v>36229.050000000003</v>
      </c>
      <c r="L155" s="111">
        <f t="shared" si="15"/>
        <v>36229.050000000003</v>
      </c>
      <c r="M155" s="112">
        <f>L155 / M428</f>
        <v>1.3683381876494682E-2</v>
      </c>
    </row>
    <row r="156" spans="1:13" ht="65" customHeight="1">
      <c r="A156" s="108" t="s">
        <v>177</v>
      </c>
      <c r="B156" s="108" t="s">
        <v>673</v>
      </c>
      <c r="C156" s="108" t="s">
        <v>35</v>
      </c>
      <c r="D156" s="108" t="s">
        <v>674</v>
      </c>
      <c r="E156" s="109" t="s">
        <v>138</v>
      </c>
      <c r="F156" s="110">
        <v>2889.62</v>
      </c>
      <c r="G156" s="111">
        <v>9.98</v>
      </c>
      <c r="H156" s="111">
        <f t="shared" si="18"/>
        <v>9.9700000000000006</v>
      </c>
      <c r="I156" s="111">
        <f>TRUNC(TRUNC(G156 * B4, 2) + G156, 2)</f>
        <v>12.06</v>
      </c>
      <c r="J156" s="111">
        <f t="shared" si="19"/>
        <v>12.059900000000001</v>
      </c>
      <c r="K156" s="111">
        <f t="shared" si="14"/>
        <v>34848.81</v>
      </c>
      <c r="L156" s="111">
        <f t="shared" si="15"/>
        <v>34848.81</v>
      </c>
      <c r="M156" s="112">
        <f>L156 / M428</f>
        <v>1.3162077812457311E-2</v>
      </c>
    </row>
    <row r="157" spans="1:13" ht="65" customHeight="1">
      <c r="A157" s="108" t="s">
        <v>178</v>
      </c>
      <c r="B157" s="108" t="s">
        <v>675</v>
      </c>
      <c r="C157" s="108" t="s">
        <v>35</v>
      </c>
      <c r="D157" s="108" t="s">
        <v>676</v>
      </c>
      <c r="E157" s="109" t="s">
        <v>138</v>
      </c>
      <c r="F157" s="110">
        <v>3253.66</v>
      </c>
      <c r="G157" s="111">
        <v>12.37</v>
      </c>
      <c r="H157" s="111">
        <f t="shared" si="18"/>
        <v>12.37</v>
      </c>
      <c r="I157" s="111">
        <f>TRUNC(TRUNC(G157 * B4, 2) + G157, 2)</f>
        <v>14.96</v>
      </c>
      <c r="J157" s="111">
        <f t="shared" si="19"/>
        <v>14.959899999999999</v>
      </c>
      <c r="K157" s="111">
        <f t="shared" si="14"/>
        <v>48674.75</v>
      </c>
      <c r="L157" s="111">
        <f t="shared" si="15"/>
        <v>48674.75</v>
      </c>
      <c r="M157" s="112">
        <f>L157 / M428</f>
        <v>1.8384009296211451E-2</v>
      </c>
    </row>
    <row r="158" spans="1:13" ht="52" customHeight="1">
      <c r="A158" s="108" t="s">
        <v>181</v>
      </c>
      <c r="B158" s="108" t="s">
        <v>677</v>
      </c>
      <c r="C158" s="108" t="s">
        <v>35</v>
      </c>
      <c r="D158" s="108" t="s">
        <v>678</v>
      </c>
      <c r="E158" s="109" t="s">
        <v>138</v>
      </c>
      <c r="F158" s="110">
        <v>636.37</v>
      </c>
      <c r="G158" s="111">
        <v>13.6</v>
      </c>
      <c r="H158" s="111">
        <f t="shared" si="18"/>
        <v>13.59</v>
      </c>
      <c r="I158" s="111">
        <f>TRUNC(TRUNC(G158 * B4, 2) + G158, 2)</f>
        <v>16.440000000000001</v>
      </c>
      <c r="J158" s="111">
        <f t="shared" si="19"/>
        <v>16.439900000000002</v>
      </c>
      <c r="K158" s="111">
        <f t="shared" si="14"/>
        <v>10461.92</v>
      </c>
      <c r="L158" s="111">
        <f t="shared" si="15"/>
        <v>10461.92</v>
      </c>
      <c r="M158" s="112">
        <f>L158 / M428</f>
        <v>3.9513718002911263E-3</v>
      </c>
    </row>
    <row r="159" spans="1:13" ht="65" customHeight="1">
      <c r="A159" s="108" t="s">
        <v>184</v>
      </c>
      <c r="B159" s="108" t="s">
        <v>679</v>
      </c>
      <c r="C159" s="108" t="s">
        <v>35</v>
      </c>
      <c r="D159" s="108" t="s">
        <v>680</v>
      </c>
      <c r="E159" s="109" t="s">
        <v>138</v>
      </c>
      <c r="F159" s="110">
        <v>1724.52</v>
      </c>
      <c r="G159" s="111">
        <v>13.53</v>
      </c>
      <c r="H159" s="111">
        <f t="shared" si="18"/>
        <v>13.53</v>
      </c>
      <c r="I159" s="111">
        <f>TRUNC(TRUNC(G159 * B4, 2) + G159, 2)</f>
        <v>16.36</v>
      </c>
      <c r="J159" s="111">
        <f t="shared" si="19"/>
        <v>16.3599</v>
      </c>
      <c r="K159" s="111">
        <f t="shared" si="14"/>
        <v>28213.14</v>
      </c>
      <c r="L159" s="111">
        <f t="shared" si="15"/>
        <v>28213.14</v>
      </c>
      <c r="M159" s="112">
        <f>L159 / M428</f>
        <v>1.0655845752372948E-2</v>
      </c>
    </row>
    <row r="160" spans="1:13" ht="26" customHeight="1">
      <c r="A160" s="108" t="s">
        <v>187</v>
      </c>
      <c r="B160" s="108" t="s">
        <v>681</v>
      </c>
      <c r="C160" s="108" t="s">
        <v>35</v>
      </c>
      <c r="D160" s="108" t="s">
        <v>682</v>
      </c>
      <c r="E160" s="109" t="s">
        <v>36</v>
      </c>
      <c r="F160" s="110">
        <v>220</v>
      </c>
      <c r="G160" s="111">
        <v>15.65</v>
      </c>
      <c r="H160" s="111">
        <f t="shared" si="18"/>
        <v>15.64</v>
      </c>
      <c r="I160" s="111">
        <f>TRUNC(TRUNC(G160 * B4, 2) + G160, 2)</f>
        <v>18.920000000000002</v>
      </c>
      <c r="J160" s="111">
        <f t="shared" si="19"/>
        <v>18.920000000000002</v>
      </c>
      <c r="K160" s="111">
        <f t="shared" si="14"/>
        <v>4162.3999999999996</v>
      </c>
      <c r="L160" s="111">
        <f t="shared" si="15"/>
        <v>4162.3999999999996</v>
      </c>
      <c r="M160" s="112">
        <f>L160 / M428</f>
        <v>1.5721005304506039E-3</v>
      </c>
    </row>
    <row r="161" spans="1:13" ht="24" customHeight="1">
      <c r="A161" s="108" t="s">
        <v>683</v>
      </c>
      <c r="B161" s="108" t="s">
        <v>684</v>
      </c>
      <c r="C161" s="108" t="s">
        <v>35</v>
      </c>
      <c r="D161" s="108" t="s">
        <v>685</v>
      </c>
      <c r="E161" s="109" t="s">
        <v>138</v>
      </c>
      <c r="F161" s="110">
        <v>147.66</v>
      </c>
      <c r="G161" s="111">
        <v>14.32</v>
      </c>
      <c r="H161" s="111">
        <f t="shared" si="18"/>
        <v>14.31</v>
      </c>
      <c r="I161" s="111">
        <f>TRUNC(TRUNC(G161 * B4, 2) + G161, 2)</f>
        <v>17.309999999999999</v>
      </c>
      <c r="J161" s="111">
        <f t="shared" si="19"/>
        <v>17.309899999999999</v>
      </c>
      <c r="K161" s="111">
        <f t="shared" si="14"/>
        <v>2555.9899999999998</v>
      </c>
      <c r="L161" s="111">
        <f t="shared" si="15"/>
        <v>2555.9899999999998</v>
      </c>
      <c r="M161" s="112">
        <f>L161 / M428</f>
        <v>9.6537411945666902E-4</v>
      </c>
    </row>
    <row r="162" spans="1:13" ht="24" customHeight="1">
      <c r="A162" s="108" t="s">
        <v>686</v>
      </c>
      <c r="B162" s="108" t="s">
        <v>687</v>
      </c>
      <c r="C162" s="108" t="s">
        <v>35</v>
      </c>
      <c r="D162" s="108" t="s">
        <v>688</v>
      </c>
      <c r="E162" s="109" t="s">
        <v>138</v>
      </c>
      <c r="F162" s="110">
        <v>31.09</v>
      </c>
      <c r="G162" s="111">
        <v>15.27</v>
      </c>
      <c r="H162" s="111">
        <f t="shared" si="18"/>
        <v>15.26</v>
      </c>
      <c r="I162" s="111">
        <f>TRUNC(TRUNC(G162 * B4, 2) + G162, 2)</f>
        <v>18.46</v>
      </c>
      <c r="J162" s="111">
        <f t="shared" si="19"/>
        <v>18.459900000000001</v>
      </c>
      <c r="K162" s="111">
        <f t="shared" si="14"/>
        <v>573.91999999999996</v>
      </c>
      <c r="L162" s="111">
        <f t="shared" si="15"/>
        <v>573.91999999999996</v>
      </c>
      <c r="M162" s="112">
        <f>L162 / M428</f>
        <v>2.1676435144056568E-4</v>
      </c>
    </row>
    <row r="163" spans="1:13" ht="39" customHeight="1">
      <c r="A163" s="103" t="s">
        <v>689</v>
      </c>
      <c r="B163" s="103" t="s">
        <v>30</v>
      </c>
      <c r="C163" s="103"/>
      <c r="D163" s="103" t="s">
        <v>690</v>
      </c>
      <c r="E163" s="104"/>
      <c r="F163" s="105">
        <v>1</v>
      </c>
      <c r="G163" s="105" t="s">
        <v>31</v>
      </c>
      <c r="H163" s="105"/>
      <c r="I163" s="106">
        <f>K164 + K165 + K166</f>
        <v>97316.32</v>
      </c>
      <c r="J163" s="106">
        <f>L164 + L165 + L166</f>
        <v>97316.32</v>
      </c>
      <c r="K163" s="106">
        <f t="shared" si="14"/>
        <v>97316.32</v>
      </c>
      <c r="L163" s="106">
        <f t="shared" si="15"/>
        <v>97316.32</v>
      </c>
      <c r="M163" s="107">
        <f>L163 / M428</f>
        <v>3.6755486808932522E-2</v>
      </c>
    </row>
    <row r="164" spans="1:13" ht="26" customHeight="1">
      <c r="A164" s="108" t="s">
        <v>691</v>
      </c>
      <c r="B164" s="108" t="s">
        <v>179</v>
      </c>
      <c r="C164" s="108" t="s">
        <v>48</v>
      </c>
      <c r="D164" s="108" t="s">
        <v>180</v>
      </c>
      <c r="E164" s="109" t="s">
        <v>49</v>
      </c>
      <c r="F164" s="110">
        <v>1072.1199999999999</v>
      </c>
      <c r="G164" s="111">
        <v>24.59</v>
      </c>
      <c r="H164" s="111">
        <f>ROUND(J164/(1+$B$4),2)</f>
        <v>24.58</v>
      </c>
      <c r="I164" s="111">
        <f>TRUNC(TRUNC(G164 * B4, 2) + G164, 2)</f>
        <v>29.73</v>
      </c>
      <c r="J164" s="111">
        <f>TRUNC(L164/F164,4)</f>
        <v>29.729900000000001</v>
      </c>
      <c r="K164" s="111">
        <f t="shared" si="14"/>
        <v>31874.12</v>
      </c>
      <c r="L164" s="111">
        <f t="shared" si="15"/>
        <v>31874.12</v>
      </c>
      <c r="M164" s="112">
        <f>L164 / M428</f>
        <v>1.2038564520383963E-2</v>
      </c>
    </row>
    <row r="165" spans="1:13" ht="39" customHeight="1">
      <c r="A165" s="108" t="s">
        <v>692</v>
      </c>
      <c r="B165" s="108" t="s">
        <v>182</v>
      </c>
      <c r="C165" s="108" t="s">
        <v>48</v>
      </c>
      <c r="D165" s="108" t="s">
        <v>183</v>
      </c>
      <c r="E165" s="109" t="s">
        <v>49</v>
      </c>
      <c r="F165" s="110">
        <v>2144.2399999999998</v>
      </c>
      <c r="G165" s="111">
        <v>12.72</v>
      </c>
      <c r="H165" s="111">
        <f>ROUND(J165/(1+$B$4),2)</f>
        <v>12.72</v>
      </c>
      <c r="I165" s="111">
        <f>TRUNC(TRUNC(G165 * B4, 2) + G165, 2)</f>
        <v>15.38</v>
      </c>
      <c r="J165" s="111">
        <f>TRUNC(L165/F165,4)</f>
        <v>15.379899999999999</v>
      </c>
      <c r="K165" s="111">
        <f t="shared" si="14"/>
        <v>32978.410000000003</v>
      </c>
      <c r="L165" s="111">
        <f t="shared" si="15"/>
        <v>32978.410000000003</v>
      </c>
      <c r="M165" s="112">
        <f>L165 / M428</f>
        <v>1.2455644785320371E-2</v>
      </c>
    </row>
    <row r="166" spans="1:13" ht="52" customHeight="1">
      <c r="A166" s="108" t="s">
        <v>693</v>
      </c>
      <c r="B166" s="108" t="s">
        <v>185</v>
      </c>
      <c r="C166" s="108" t="s">
        <v>48</v>
      </c>
      <c r="D166" s="108" t="s">
        <v>186</v>
      </c>
      <c r="E166" s="109" t="s">
        <v>49</v>
      </c>
      <c r="F166" s="110">
        <v>2144.2399999999998</v>
      </c>
      <c r="G166" s="111">
        <v>12.52</v>
      </c>
      <c r="H166" s="111">
        <f>ROUND(J166/(1+$B$4),2)</f>
        <v>12.52</v>
      </c>
      <c r="I166" s="111">
        <f>TRUNC(TRUNC(G166 * B4, 2) + G166, 2)</f>
        <v>15.14</v>
      </c>
      <c r="J166" s="111">
        <f>TRUNC(L166/F166,4)</f>
        <v>15.139900000000001</v>
      </c>
      <c r="K166" s="111">
        <f t="shared" si="14"/>
        <v>32463.79</v>
      </c>
      <c r="L166" s="111">
        <f t="shared" si="15"/>
        <v>32463.79</v>
      </c>
      <c r="M166" s="112">
        <f>L166 / M428</f>
        <v>1.2261277503228189E-2</v>
      </c>
    </row>
    <row r="167" spans="1:13" ht="24" customHeight="1">
      <c r="A167" s="103" t="s">
        <v>11</v>
      </c>
      <c r="B167" s="103" t="s">
        <v>30</v>
      </c>
      <c r="C167" s="103"/>
      <c r="D167" s="103" t="s">
        <v>12</v>
      </c>
      <c r="E167" s="104"/>
      <c r="F167" s="105">
        <v>1</v>
      </c>
      <c r="G167" s="105" t="s">
        <v>31</v>
      </c>
      <c r="H167" s="105"/>
      <c r="I167" s="106">
        <f>K168 + K174 + K177 + K180 + K187 + K194</f>
        <v>541211.57000000007</v>
      </c>
      <c r="J167" s="106">
        <f>L168 + L174 + L177 + L180 + L187 + L194</f>
        <v>541211.57000000007</v>
      </c>
      <c r="K167" s="106">
        <f t="shared" si="14"/>
        <v>541211.56999999995</v>
      </c>
      <c r="L167" s="106">
        <f t="shared" si="15"/>
        <v>541211.56999999995</v>
      </c>
      <c r="M167" s="107">
        <f>L167 / M428</f>
        <v>0.20441067563977613</v>
      </c>
    </row>
    <row r="168" spans="1:13" ht="24" customHeight="1">
      <c r="A168" s="103" t="s">
        <v>188</v>
      </c>
      <c r="B168" s="103" t="s">
        <v>30</v>
      </c>
      <c r="C168" s="103"/>
      <c r="D168" s="103" t="s">
        <v>189</v>
      </c>
      <c r="E168" s="104"/>
      <c r="F168" s="105">
        <v>1</v>
      </c>
      <c r="G168" s="105" t="s">
        <v>31</v>
      </c>
      <c r="H168" s="105"/>
      <c r="I168" s="106">
        <f>K169 + K170 + K171 + K172 + K173</f>
        <v>49456.470000000008</v>
      </c>
      <c r="J168" s="106">
        <f>L169 + L170 + L171 + L172 + L173</f>
        <v>49456.470000000008</v>
      </c>
      <c r="K168" s="106">
        <f t="shared" si="14"/>
        <v>49456.47</v>
      </c>
      <c r="L168" s="106">
        <f t="shared" si="15"/>
        <v>49456.47</v>
      </c>
      <c r="M168" s="107">
        <f>L168 / M428</f>
        <v>1.867925781309206E-2</v>
      </c>
    </row>
    <row r="169" spans="1:13" ht="39" customHeight="1">
      <c r="A169" s="108" t="s">
        <v>190</v>
      </c>
      <c r="B169" s="108" t="s">
        <v>694</v>
      </c>
      <c r="C169" s="108" t="s">
        <v>48</v>
      </c>
      <c r="D169" s="108" t="s">
        <v>695</v>
      </c>
      <c r="E169" s="109" t="s">
        <v>49</v>
      </c>
      <c r="F169" s="110">
        <v>321.58</v>
      </c>
      <c r="G169" s="111">
        <v>103.03</v>
      </c>
      <c r="H169" s="111">
        <f>ROUND(J169/(1+$B$4),2)</f>
        <v>103.03</v>
      </c>
      <c r="I169" s="111">
        <f>TRUNC(TRUNC(G169 * B4, 2) + G169, 2)</f>
        <v>124.6</v>
      </c>
      <c r="J169" s="111">
        <f>TRUNC(L169/F169,4)</f>
        <v>124.59990000000001</v>
      </c>
      <c r="K169" s="111">
        <f t="shared" si="14"/>
        <v>40068.86</v>
      </c>
      <c r="L169" s="111">
        <f t="shared" si="15"/>
        <v>40068.86</v>
      </c>
      <c r="M169" s="112">
        <f>L169 / M428</f>
        <v>1.5133643105071832E-2</v>
      </c>
    </row>
    <row r="170" spans="1:13" ht="26" customHeight="1">
      <c r="A170" s="108" t="s">
        <v>193</v>
      </c>
      <c r="B170" s="108" t="s">
        <v>696</v>
      </c>
      <c r="C170" s="108" t="s">
        <v>48</v>
      </c>
      <c r="D170" s="108" t="s">
        <v>697</v>
      </c>
      <c r="E170" s="109" t="s">
        <v>70</v>
      </c>
      <c r="F170" s="110">
        <v>3.85</v>
      </c>
      <c r="G170" s="111">
        <v>1225.28</v>
      </c>
      <c r="H170" s="111">
        <f>ROUND(J170/(1+$B$4),2)</f>
        <v>1225.28</v>
      </c>
      <c r="I170" s="111">
        <f>TRUNC(TRUNC(G170 * B4, 2) + G170, 2)</f>
        <v>1481.85</v>
      </c>
      <c r="J170" s="111">
        <f>TRUNC(L170/F170,4)</f>
        <v>1481.8493000000001</v>
      </c>
      <c r="K170" s="111">
        <f t="shared" si="14"/>
        <v>5705.12</v>
      </c>
      <c r="L170" s="111">
        <f t="shared" si="15"/>
        <v>5705.12</v>
      </c>
      <c r="M170" s="112">
        <f>L170 / M428</f>
        <v>2.1547718091207836E-3</v>
      </c>
    </row>
    <row r="171" spans="1:13" ht="26" customHeight="1">
      <c r="A171" s="108" t="s">
        <v>194</v>
      </c>
      <c r="B171" s="108" t="s">
        <v>698</v>
      </c>
      <c r="C171" s="108" t="s">
        <v>35</v>
      </c>
      <c r="D171" s="108" t="s">
        <v>699</v>
      </c>
      <c r="E171" s="109" t="s">
        <v>138</v>
      </c>
      <c r="F171" s="110">
        <v>240.55</v>
      </c>
      <c r="G171" s="111">
        <v>10.55</v>
      </c>
      <c r="H171" s="111">
        <f>ROUND(J171/(1+$B$4),2)</f>
        <v>10.54</v>
      </c>
      <c r="I171" s="111">
        <f>TRUNC(TRUNC(G171 * B4, 2) + G171, 2)</f>
        <v>12.75</v>
      </c>
      <c r="J171" s="111">
        <f>TRUNC(L171/F171,4)</f>
        <v>12.7499</v>
      </c>
      <c r="K171" s="111">
        <f t="shared" si="14"/>
        <v>3067.01</v>
      </c>
      <c r="L171" s="111">
        <f t="shared" si="15"/>
        <v>3067.01</v>
      </c>
      <c r="M171" s="112">
        <f>L171 / M428</f>
        <v>1.1583817143708695E-3</v>
      </c>
    </row>
    <row r="172" spans="1:13" ht="26" customHeight="1">
      <c r="A172" s="108" t="s">
        <v>195</v>
      </c>
      <c r="B172" s="108" t="s">
        <v>700</v>
      </c>
      <c r="C172" s="108" t="s">
        <v>48</v>
      </c>
      <c r="D172" s="108" t="s">
        <v>701</v>
      </c>
      <c r="E172" s="109" t="s">
        <v>138</v>
      </c>
      <c r="F172" s="110">
        <v>17.82</v>
      </c>
      <c r="G172" s="111">
        <v>10.11</v>
      </c>
      <c r="H172" s="111">
        <f>ROUND(J172/(1+$B$4),2)</f>
        <v>10.1</v>
      </c>
      <c r="I172" s="111">
        <f>TRUNC(TRUNC(G172 * B4, 2) + G172, 2)</f>
        <v>12.22</v>
      </c>
      <c r="J172" s="111">
        <f>TRUNC(L172/F172,4)</f>
        <v>12.219900000000001</v>
      </c>
      <c r="K172" s="111">
        <f t="shared" si="14"/>
        <v>217.76</v>
      </c>
      <c r="L172" s="111">
        <f t="shared" si="15"/>
        <v>217.76</v>
      </c>
      <c r="M172" s="112">
        <f>L172 / M428</f>
        <v>8.2245966632453276E-5</v>
      </c>
    </row>
    <row r="173" spans="1:13" ht="26" customHeight="1">
      <c r="A173" s="108" t="s">
        <v>702</v>
      </c>
      <c r="B173" s="108" t="s">
        <v>703</v>
      </c>
      <c r="C173" s="108" t="s">
        <v>35</v>
      </c>
      <c r="D173" s="108" t="s">
        <v>704</v>
      </c>
      <c r="E173" s="109" t="s">
        <v>138</v>
      </c>
      <c r="F173" s="110">
        <v>33.82</v>
      </c>
      <c r="G173" s="111">
        <v>9.73</v>
      </c>
      <c r="H173" s="111">
        <f>ROUND(J173/(1+$B$4),2)</f>
        <v>9.7200000000000006</v>
      </c>
      <c r="I173" s="111">
        <f>TRUNC(TRUNC(G173 * B4, 2) + G173, 2)</f>
        <v>11.76</v>
      </c>
      <c r="J173" s="111">
        <f>TRUNC(L173/F173,4)</f>
        <v>11.7599</v>
      </c>
      <c r="K173" s="111">
        <f t="shared" si="14"/>
        <v>397.72</v>
      </c>
      <c r="L173" s="111">
        <f t="shared" si="15"/>
        <v>397.72</v>
      </c>
      <c r="M173" s="112">
        <f>L173 / M428</f>
        <v>1.5021521789612105E-4</v>
      </c>
    </row>
    <row r="174" spans="1:13" ht="24" customHeight="1">
      <c r="A174" s="103" t="s">
        <v>196</v>
      </c>
      <c r="B174" s="103" t="s">
        <v>30</v>
      </c>
      <c r="C174" s="103"/>
      <c r="D174" s="103" t="s">
        <v>705</v>
      </c>
      <c r="E174" s="104"/>
      <c r="F174" s="105">
        <v>1</v>
      </c>
      <c r="G174" s="105" t="s">
        <v>31</v>
      </c>
      <c r="H174" s="105"/>
      <c r="I174" s="106">
        <f>K175 + K176</f>
        <v>90526.65</v>
      </c>
      <c r="J174" s="106">
        <f>L175 + L176</f>
        <v>90526.65</v>
      </c>
      <c r="K174" s="106">
        <f t="shared" si="14"/>
        <v>90526.65</v>
      </c>
      <c r="L174" s="106">
        <f t="shared" si="15"/>
        <v>90526.65</v>
      </c>
      <c r="M174" s="107">
        <f>L174 / M428</f>
        <v>3.419109035290125E-2</v>
      </c>
    </row>
    <row r="175" spans="1:13" ht="26" customHeight="1">
      <c r="A175" s="108" t="s">
        <v>197</v>
      </c>
      <c r="B175" s="108" t="s">
        <v>235</v>
      </c>
      <c r="C175" s="108" t="s">
        <v>48</v>
      </c>
      <c r="D175" s="108" t="s">
        <v>236</v>
      </c>
      <c r="E175" s="109" t="s">
        <v>49</v>
      </c>
      <c r="F175" s="110">
        <v>619.6</v>
      </c>
      <c r="G175" s="111">
        <v>74.680000000000007</v>
      </c>
      <c r="H175" s="111">
        <f>ROUND(J175/(1+$B$4),2)</f>
        <v>74.67</v>
      </c>
      <c r="I175" s="111">
        <f>TRUNC(TRUNC(G175 * B4, 2) + G175, 2)</f>
        <v>90.31</v>
      </c>
      <c r="J175" s="111">
        <f>TRUNC(L175/F175,4)</f>
        <v>90.309899999999999</v>
      </c>
      <c r="K175" s="111">
        <f t="shared" si="14"/>
        <v>55956.07</v>
      </c>
      <c r="L175" s="111">
        <f t="shared" si="15"/>
        <v>55956.07</v>
      </c>
      <c r="M175" s="112">
        <f>L175 / M428</f>
        <v>2.1134097474757623E-2</v>
      </c>
    </row>
    <row r="176" spans="1:13" ht="26" customHeight="1">
      <c r="A176" s="108" t="s">
        <v>198</v>
      </c>
      <c r="B176" s="108" t="s">
        <v>706</v>
      </c>
      <c r="C176" s="108" t="s">
        <v>48</v>
      </c>
      <c r="D176" s="108" t="s">
        <v>707</v>
      </c>
      <c r="E176" s="109" t="s">
        <v>49</v>
      </c>
      <c r="F176" s="110">
        <v>608.53</v>
      </c>
      <c r="G176" s="111">
        <v>46.98</v>
      </c>
      <c r="H176" s="111">
        <f>ROUND(J176/(1+$B$4),2)</f>
        <v>46.97</v>
      </c>
      <c r="I176" s="111">
        <f>TRUNC(TRUNC(G176 * B4, 2) + G176, 2)</f>
        <v>56.81</v>
      </c>
      <c r="J176" s="111">
        <f>TRUNC(L176/F176,4)</f>
        <v>56.809899999999999</v>
      </c>
      <c r="K176" s="111">
        <f t="shared" si="14"/>
        <v>34570.58</v>
      </c>
      <c r="L176" s="111">
        <f t="shared" si="15"/>
        <v>34570.58</v>
      </c>
      <c r="M176" s="112">
        <f>L176 / M428</f>
        <v>1.3056992878143631E-2</v>
      </c>
    </row>
    <row r="177" spans="1:13" ht="24" customHeight="1">
      <c r="A177" s="103" t="s">
        <v>199</v>
      </c>
      <c r="B177" s="103" t="s">
        <v>30</v>
      </c>
      <c r="C177" s="103"/>
      <c r="D177" s="103" t="s">
        <v>200</v>
      </c>
      <c r="E177" s="104"/>
      <c r="F177" s="105">
        <v>1</v>
      </c>
      <c r="G177" s="105" t="s">
        <v>31</v>
      </c>
      <c r="H177" s="105"/>
      <c r="I177" s="106">
        <f>K178 + K179</f>
        <v>87311.53</v>
      </c>
      <c r="J177" s="106">
        <f>L178 + L179</f>
        <v>87311.53</v>
      </c>
      <c r="K177" s="106">
        <f t="shared" si="14"/>
        <v>87311.53</v>
      </c>
      <c r="L177" s="106">
        <f t="shared" si="15"/>
        <v>87311.53</v>
      </c>
      <c r="M177" s="107">
        <f>L177 / M428</f>
        <v>3.2976768841883004E-2</v>
      </c>
    </row>
    <row r="178" spans="1:13" ht="39" customHeight="1">
      <c r="A178" s="108" t="s">
        <v>201</v>
      </c>
      <c r="B178" s="108" t="s">
        <v>202</v>
      </c>
      <c r="C178" s="108" t="s">
        <v>48</v>
      </c>
      <c r="D178" s="108" t="s">
        <v>203</v>
      </c>
      <c r="E178" s="109" t="s">
        <v>49</v>
      </c>
      <c r="F178" s="110">
        <v>10.08</v>
      </c>
      <c r="G178" s="111">
        <v>642.25</v>
      </c>
      <c r="H178" s="111">
        <f>ROUND(J178/(1+$B$4),2)</f>
        <v>642.24</v>
      </c>
      <c r="I178" s="111">
        <f>TRUNC(TRUNC(G178 * B4, 2) + G178, 2)</f>
        <v>776.73</v>
      </c>
      <c r="J178" s="111">
        <f>TRUNC(L178/F178,4)</f>
        <v>776.72910000000002</v>
      </c>
      <c r="K178" s="111">
        <f t="shared" si="14"/>
        <v>7829.43</v>
      </c>
      <c r="L178" s="111">
        <f t="shared" si="15"/>
        <v>7829.43</v>
      </c>
      <c r="M178" s="112">
        <f>L178 / M428</f>
        <v>2.9571043283023912E-3</v>
      </c>
    </row>
    <row r="179" spans="1:13" ht="26" customHeight="1">
      <c r="A179" s="108" t="s">
        <v>204</v>
      </c>
      <c r="B179" s="108" t="s">
        <v>708</v>
      </c>
      <c r="C179" s="108" t="s">
        <v>35</v>
      </c>
      <c r="D179" s="108" t="s">
        <v>709</v>
      </c>
      <c r="E179" s="109" t="s">
        <v>49</v>
      </c>
      <c r="F179" s="110">
        <v>176.29</v>
      </c>
      <c r="G179" s="111">
        <v>372.8</v>
      </c>
      <c r="H179" s="111">
        <f>ROUND(J179/(1+$B$4),2)</f>
        <v>372.8</v>
      </c>
      <c r="I179" s="111">
        <f>TRUNC(TRUNC(G179 * B4, 2) + G179, 2)</f>
        <v>450.86</v>
      </c>
      <c r="J179" s="111">
        <f>TRUNC(L179/F179,4)</f>
        <v>450.85989999999998</v>
      </c>
      <c r="K179" s="111">
        <f t="shared" si="14"/>
        <v>79482.100000000006</v>
      </c>
      <c r="L179" s="111">
        <f t="shared" si="15"/>
        <v>79482.100000000006</v>
      </c>
      <c r="M179" s="112">
        <f>L179 / M428</f>
        <v>3.001966451358062E-2</v>
      </c>
    </row>
    <row r="180" spans="1:13" ht="24" customHeight="1">
      <c r="A180" s="103" t="s">
        <v>206</v>
      </c>
      <c r="B180" s="103" t="s">
        <v>30</v>
      </c>
      <c r="C180" s="103"/>
      <c r="D180" s="103" t="s">
        <v>210</v>
      </c>
      <c r="E180" s="104"/>
      <c r="F180" s="105">
        <v>1</v>
      </c>
      <c r="G180" s="105" t="s">
        <v>31</v>
      </c>
      <c r="H180" s="105"/>
      <c r="I180" s="106">
        <f>K181 + K182 + K183 + K184 + K185 + K186</f>
        <v>199211.35</v>
      </c>
      <c r="J180" s="106">
        <f>L181 + L182 + L183 + L184 + L185 + L186</f>
        <v>199211.35</v>
      </c>
      <c r="K180" s="106">
        <f t="shared" si="14"/>
        <v>199211.35</v>
      </c>
      <c r="L180" s="106">
        <f t="shared" si="15"/>
        <v>199211.35</v>
      </c>
      <c r="M180" s="107">
        <f>L180 / M428</f>
        <v>7.5240310639722502E-2</v>
      </c>
    </row>
    <row r="181" spans="1:13" ht="26" customHeight="1">
      <c r="A181" s="108" t="s">
        <v>207</v>
      </c>
      <c r="B181" s="108" t="s">
        <v>710</v>
      </c>
      <c r="C181" s="108" t="s">
        <v>48</v>
      </c>
      <c r="D181" s="108" t="s">
        <v>711</v>
      </c>
      <c r="E181" s="109" t="s">
        <v>49</v>
      </c>
      <c r="F181" s="110">
        <v>612.75</v>
      </c>
      <c r="G181" s="111">
        <v>74.48</v>
      </c>
      <c r="H181" s="111">
        <f t="shared" ref="H181:H186" si="20">ROUND(J181/(1+$B$4),2)</f>
        <v>74.47</v>
      </c>
      <c r="I181" s="111">
        <f>TRUNC(TRUNC(G181 * B4, 2) + G181, 2)</f>
        <v>90.07</v>
      </c>
      <c r="J181" s="111">
        <f t="shared" ref="J181:J186" si="21">TRUNC(L181/F181,4)</f>
        <v>90.069900000000004</v>
      </c>
      <c r="K181" s="111">
        <f t="shared" si="14"/>
        <v>55190.39</v>
      </c>
      <c r="L181" s="111">
        <f t="shared" si="15"/>
        <v>55190.39</v>
      </c>
      <c r="M181" s="112">
        <f>L181 / M428</f>
        <v>2.0844907119636678E-2</v>
      </c>
    </row>
    <row r="182" spans="1:13" ht="39" customHeight="1">
      <c r="A182" s="108" t="s">
        <v>208</v>
      </c>
      <c r="B182" s="108" t="s">
        <v>215</v>
      </c>
      <c r="C182" s="108" t="s">
        <v>48</v>
      </c>
      <c r="D182" s="108" t="s">
        <v>216</v>
      </c>
      <c r="E182" s="109" t="s">
        <v>63</v>
      </c>
      <c r="F182" s="110">
        <v>86</v>
      </c>
      <c r="G182" s="111">
        <v>169.42</v>
      </c>
      <c r="H182" s="111">
        <f t="shared" si="20"/>
        <v>169.41</v>
      </c>
      <c r="I182" s="111">
        <f>TRUNC(TRUNC(G182 * B4, 2) + G182, 2)</f>
        <v>204.89</v>
      </c>
      <c r="J182" s="111">
        <f t="shared" si="21"/>
        <v>204.89</v>
      </c>
      <c r="K182" s="111">
        <f t="shared" si="14"/>
        <v>17620.54</v>
      </c>
      <c r="L182" s="111">
        <f t="shared" si="15"/>
        <v>17620.54</v>
      </c>
      <c r="M182" s="112">
        <f>L182 / M428</f>
        <v>6.6551173075211634E-3</v>
      </c>
    </row>
    <row r="183" spans="1:13" ht="26" customHeight="1">
      <c r="A183" s="108" t="s">
        <v>712</v>
      </c>
      <c r="B183" s="108" t="s">
        <v>212</v>
      </c>
      <c r="C183" s="108" t="s">
        <v>48</v>
      </c>
      <c r="D183" s="108" t="s">
        <v>213</v>
      </c>
      <c r="E183" s="109" t="s">
        <v>63</v>
      </c>
      <c r="F183" s="110">
        <v>28.5</v>
      </c>
      <c r="G183" s="111">
        <v>53.24</v>
      </c>
      <c r="H183" s="111">
        <f t="shared" si="20"/>
        <v>53.23</v>
      </c>
      <c r="I183" s="111">
        <f>TRUNC(TRUNC(G183 * B4, 2) + G183, 2)</f>
        <v>64.38</v>
      </c>
      <c r="J183" s="111">
        <f t="shared" si="21"/>
        <v>64.38</v>
      </c>
      <c r="K183" s="111">
        <f t="shared" si="14"/>
        <v>1834.83</v>
      </c>
      <c r="L183" s="111">
        <f t="shared" si="15"/>
        <v>1834.83</v>
      </c>
      <c r="M183" s="112">
        <f>L183 / M428</f>
        <v>6.929985624367389E-4</v>
      </c>
    </row>
    <row r="184" spans="1:13" ht="39" customHeight="1">
      <c r="A184" s="108" t="s">
        <v>713</v>
      </c>
      <c r="B184" s="108" t="s">
        <v>714</v>
      </c>
      <c r="C184" s="108" t="s">
        <v>35</v>
      </c>
      <c r="D184" s="108" t="s">
        <v>715</v>
      </c>
      <c r="E184" s="109" t="s">
        <v>49</v>
      </c>
      <c r="F184" s="110">
        <v>255.36</v>
      </c>
      <c r="G184" s="111">
        <v>78.91</v>
      </c>
      <c r="H184" s="111">
        <f t="shared" si="20"/>
        <v>78.91</v>
      </c>
      <c r="I184" s="111">
        <f>TRUNC(TRUNC(G184 * B4, 2) + G184, 2)</f>
        <v>95.43</v>
      </c>
      <c r="J184" s="111">
        <f t="shared" si="21"/>
        <v>95.429900000000004</v>
      </c>
      <c r="K184" s="111">
        <f t="shared" si="14"/>
        <v>24369</v>
      </c>
      <c r="L184" s="111">
        <f t="shared" si="15"/>
        <v>24369</v>
      </c>
      <c r="M184" s="112">
        <f>L184 / M428</f>
        <v>9.2039491222733923E-3</v>
      </c>
    </row>
    <row r="185" spans="1:13" ht="52" customHeight="1">
      <c r="A185" s="108" t="s">
        <v>716</v>
      </c>
      <c r="B185" s="108" t="s">
        <v>717</v>
      </c>
      <c r="C185" s="108" t="s">
        <v>48</v>
      </c>
      <c r="D185" s="108" t="s">
        <v>718</v>
      </c>
      <c r="E185" s="109" t="s">
        <v>49</v>
      </c>
      <c r="F185" s="110">
        <v>255.36</v>
      </c>
      <c r="G185" s="111">
        <v>58.16</v>
      </c>
      <c r="H185" s="111">
        <f t="shared" si="20"/>
        <v>58.15</v>
      </c>
      <c r="I185" s="111">
        <f>TRUNC(TRUNC(G185 * B4, 2) + G185, 2)</f>
        <v>70.33</v>
      </c>
      <c r="J185" s="111">
        <f t="shared" si="21"/>
        <v>70.329899999999995</v>
      </c>
      <c r="K185" s="111">
        <f t="shared" si="14"/>
        <v>17959.46</v>
      </c>
      <c r="L185" s="111">
        <f t="shared" si="15"/>
        <v>17959.46</v>
      </c>
      <c r="M185" s="112">
        <f>L185 / M428</f>
        <v>6.7831243015102835E-3</v>
      </c>
    </row>
    <row r="186" spans="1:13" ht="52" customHeight="1">
      <c r="A186" s="108" t="s">
        <v>719</v>
      </c>
      <c r="B186" s="108" t="s">
        <v>720</v>
      </c>
      <c r="C186" s="108" t="s">
        <v>35</v>
      </c>
      <c r="D186" s="108" t="s">
        <v>721</v>
      </c>
      <c r="E186" s="109" t="s">
        <v>49</v>
      </c>
      <c r="F186" s="110">
        <v>152.65</v>
      </c>
      <c r="G186" s="111">
        <v>445.46</v>
      </c>
      <c r="H186" s="111">
        <f t="shared" si="20"/>
        <v>445.45</v>
      </c>
      <c r="I186" s="111">
        <f>TRUNC(TRUNC(G186 * B4, 2) + G186, 2)</f>
        <v>538.73</v>
      </c>
      <c r="J186" s="111">
        <f t="shared" si="21"/>
        <v>538.72990000000004</v>
      </c>
      <c r="K186" s="111">
        <f t="shared" si="14"/>
        <v>82237.13</v>
      </c>
      <c r="L186" s="111">
        <f t="shared" si="15"/>
        <v>82237.13</v>
      </c>
      <c r="M186" s="112">
        <f>L186 / M428</f>
        <v>3.1060214226344248E-2</v>
      </c>
    </row>
    <row r="187" spans="1:13" ht="24" customHeight="1">
      <c r="A187" s="103" t="s">
        <v>209</v>
      </c>
      <c r="B187" s="103" t="s">
        <v>30</v>
      </c>
      <c r="C187" s="103"/>
      <c r="D187" s="103" t="s">
        <v>722</v>
      </c>
      <c r="E187" s="104"/>
      <c r="F187" s="105">
        <v>1</v>
      </c>
      <c r="G187" s="105" t="s">
        <v>31</v>
      </c>
      <c r="H187" s="105"/>
      <c r="I187" s="106">
        <f>K188 + K192</f>
        <v>45324.380000000005</v>
      </c>
      <c r="J187" s="106">
        <f>L188 + L192</f>
        <v>45324.380000000005</v>
      </c>
      <c r="K187" s="106">
        <f t="shared" si="14"/>
        <v>45324.38</v>
      </c>
      <c r="L187" s="106">
        <f t="shared" si="15"/>
        <v>45324.38</v>
      </c>
      <c r="M187" s="107">
        <f>L187 / M428</f>
        <v>1.7118605093298277E-2</v>
      </c>
    </row>
    <row r="188" spans="1:13" ht="24" customHeight="1">
      <c r="A188" s="103" t="s">
        <v>211</v>
      </c>
      <c r="B188" s="103" t="s">
        <v>30</v>
      </c>
      <c r="C188" s="103"/>
      <c r="D188" s="103" t="s">
        <v>723</v>
      </c>
      <c r="E188" s="104"/>
      <c r="F188" s="105">
        <v>1</v>
      </c>
      <c r="G188" s="105" t="s">
        <v>31</v>
      </c>
      <c r="H188" s="105"/>
      <c r="I188" s="106">
        <f>K189 + K190 + K191</f>
        <v>19154.2</v>
      </c>
      <c r="J188" s="106">
        <f>L189 + L190 + L191</f>
        <v>19154.2</v>
      </c>
      <c r="K188" s="106">
        <f t="shared" si="14"/>
        <v>19154.2</v>
      </c>
      <c r="L188" s="106">
        <f t="shared" si="15"/>
        <v>19154.2</v>
      </c>
      <c r="M188" s="107">
        <f>L188 / M428</f>
        <v>7.2343667067934275E-3</v>
      </c>
    </row>
    <row r="189" spans="1:13" ht="39" customHeight="1">
      <c r="A189" s="108" t="s">
        <v>724</v>
      </c>
      <c r="B189" s="108" t="s">
        <v>223</v>
      </c>
      <c r="C189" s="108" t="s">
        <v>48</v>
      </c>
      <c r="D189" s="108" t="s">
        <v>224</v>
      </c>
      <c r="E189" s="109" t="s">
        <v>49</v>
      </c>
      <c r="F189" s="110">
        <v>141.12</v>
      </c>
      <c r="G189" s="111">
        <v>73.150000000000006</v>
      </c>
      <c r="H189" s="111">
        <f>ROUND(J189/(1+$B$4),2)</f>
        <v>73.14</v>
      </c>
      <c r="I189" s="111">
        <f>TRUNC(TRUNC(G189 * B4, 2) + G189, 2)</f>
        <v>88.46</v>
      </c>
      <c r="J189" s="111">
        <f>TRUNC(L189/F189,4)</f>
        <v>88.459900000000005</v>
      </c>
      <c r="K189" s="111">
        <f t="shared" si="14"/>
        <v>12483.47</v>
      </c>
      <c r="L189" s="111">
        <f t="shared" si="15"/>
        <v>12483.47</v>
      </c>
      <c r="M189" s="112">
        <f>L189 / M428</f>
        <v>4.7148928043590724E-3</v>
      </c>
    </row>
    <row r="190" spans="1:13" ht="26" customHeight="1">
      <c r="A190" s="108" t="s">
        <v>725</v>
      </c>
      <c r="B190" s="108" t="s">
        <v>231</v>
      </c>
      <c r="C190" s="108" t="s">
        <v>48</v>
      </c>
      <c r="D190" s="108" t="s">
        <v>232</v>
      </c>
      <c r="E190" s="109" t="s">
        <v>49</v>
      </c>
      <c r="F190" s="110">
        <v>141.12</v>
      </c>
      <c r="G190" s="111">
        <v>24.35</v>
      </c>
      <c r="H190" s="111">
        <f>ROUND(J190/(1+$B$4),2)</f>
        <v>24.34</v>
      </c>
      <c r="I190" s="111">
        <f>TRUNC(TRUNC(G190 * B4, 2) + G190, 2)</f>
        <v>29.44</v>
      </c>
      <c r="J190" s="111">
        <f>TRUNC(L190/F190,4)</f>
        <v>29.439900000000002</v>
      </c>
      <c r="K190" s="111">
        <f t="shared" si="14"/>
        <v>4154.57</v>
      </c>
      <c r="L190" s="111">
        <f t="shared" si="15"/>
        <v>4154.57</v>
      </c>
      <c r="M190" s="112">
        <f>L190 / M428</f>
        <v>1.5691432108384984E-3</v>
      </c>
    </row>
    <row r="191" spans="1:13" ht="26" customHeight="1">
      <c r="A191" s="108" t="s">
        <v>726</v>
      </c>
      <c r="B191" s="108" t="s">
        <v>233</v>
      </c>
      <c r="C191" s="108" t="s">
        <v>48</v>
      </c>
      <c r="D191" s="108" t="s">
        <v>234</v>
      </c>
      <c r="E191" s="109" t="s">
        <v>49</v>
      </c>
      <c r="F191" s="110">
        <v>141.12</v>
      </c>
      <c r="G191" s="111">
        <v>14.75</v>
      </c>
      <c r="H191" s="111">
        <f>ROUND(J191/(1+$B$4),2)</f>
        <v>14.74</v>
      </c>
      <c r="I191" s="111">
        <f>TRUNC(TRUNC(G191 * B4, 2) + G191, 2)</f>
        <v>17.829999999999998</v>
      </c>
      <c r="J191" s="111">
        <f>TRUNC(L191/F191,4)</f>
        <v>17.829899999999999</v>
      </c>
      <c r="K191" s="111">
        <f t="shared" si="14"/>
        <v>2516.16</v>
      </c>
      <c r="L191" s="111">
        <f t="shared" si="15"/>
        <v>2516.16</v>
      </c>
      <c r="M191" s="112">
        <f>L191 / M428</f>
        <v>9.503306915958562E-4</v>
      </c>
    </row>
    <row r="192" spans="1:13" ht="24" customHeight="1">
      <c r="A192" s="103" t="s">
        <v>214</v>
      </c>
      <c r="B192" s="103" t="s">
        <v>30</v>
      </c>
      <c r="C192" s="103"/>
      <c r="D192" s="103" t="s">
        <v>189</v>
      </c>
      <c r="E192" s="104"/>
      <c r="F192" s="105">
        <v>1</v>
      </c>
      <c r="G192" s="105" t="s">
        <v>31</v>
      </c>
      <c r="H192" s="105"/>
      <c r="I192" s="106">
        <f>K193</f>
        <v>26170.18</v>
      </c>
      <c r="J192" s="106">
        <f>L193</f>
        <v>26170.18</v>
      </c>
      <c r="K192" s="106">
        <f t="shared" si="14"/>
        <v>26170.18</v>
      </c>
      <c r="L192" s="106">
        <f t="shared" si="15"/>
        <v>26170.18</v>
      </c>
      <c r="M192" s="107">
        <f>L192 / M428</f>
        <v>9.8842383865048507E-3</v>
      </c>
    </row>
    <row r="193" spans="1:13" ht="26" customHeight="1">
      <c r="A193" s="108" t="s">
        <v>727</v>
      </c>
      <c r="B193" s="108" t="s">
        <v>667</v>
      </c>
      <c r="C193" s="108" t="s">
        <v>48</v>
      </c>
      <c r="D193" s="108" t="s">
        <v>668</v>
      </c>
      <c r="E193" s="109" t="s">
        <v>49</v>
      </c>
      <c r="F193" s="110">
        <v>643.16</v>
      </c>
      <c r="G193" s="111">
        <v>33.65</v>
      </c>
      <c r="H193" s="111">
        <f>ROUND(J193/(1+$B$4),2)</f>
        <v>33.64</v>
      </c>
      <c r="I193" s="111">
        <f>TRUNC(TRUNC(G193 * B4, 2) + G193, 2)</f>
        <v>40.69</v>
      </c>
      <c r="J193" s="111">
        <f>TRUNC(L193/F193,4)</f>
        <v>40.689900000000002</v>
      </c>
      <c r="K193" s="111">
        <f t="shared" si="14"/>
        <v>26170.18</v>
      </c>
      <c r="L193" s="111">
        <f t="shared" si="15"/>
        <v>26170.18</v>
      </c>
      <c r="M193" s="112">
        <f>L193 / M428</f>
        <v>9.8842383865048507E-3</v>
      </c>
    </row>
    <row r="194" spans="1:13" ht="24" customHeight="1">
      <c r="A194" s="103" t="s">
        <v>217</v>
      </c>
      <c r="B194" s="103" t="s">
        <v>30</v>
      </c>
      <c r="C194" s="103"/>
      <c r="D194" s="103" t="s">
        <v>728</v>
      </c>
      <c r="E194" s="104"/>
      <c r="F194" s="105">
        <v>1</v>
      </c>
      <c r="G194" s="105" t="s">
        <v>31</v>
      </c>
      <c r="H194" s="105"/>
      <c r="I194" s="106">
        <f>K195 + K196 + K197 + K198</f>
        <v>69381.19</v>
      </c>
      <c r="J194" s="106">
        <f>L195 + L196 + L197 + L198</f>
        <v>69381.19</v>
      </c>
      <c r="K194" s="106">
        <f t="shared" si="14"/>
        <v>69381.19</v>
      </c>
      <c r="L194" s="106">
        <f t="shared" si="15"/>
        <v>69381.19</v>
      </c>
      <c r="M194" s="107">
        <f>L194 / M428</f>
        <v>2.6204642898879048E-2</v>
      </c>
    </row>
    <row r="195" spans="1:13" ht="39" customHeight="1">
      <c r="A195" s="108" t="s">
        <v>218</v>
      </c>
      <c r="B195" s="108" t="s">
        <v>729</v>
      </c>
      <c r="C195" s="108" t="s">
        <v>48</v>
      </c>
      <c r="D195" s="108" t="s">
        <v>730</v>
      </c>
      <c r="E195" s="109" t="s">
        <v>49</v>
      </c>
      <c r="F195" s="110">
        <v>637.79</v>
      </c>
      <c r="G195" s="111">
        <v>0.81</v>
      </c>
      <c r="H195" s="111">
        <f>ROUND(J195/(1+$B$4),2)</f>
        <v>0.8</v>
      </c>
      <c r="I195" s="111">
        <f>TRUNC(TRUNC(G195 * B4, 2) + G195, 2)</f>
        <v>0.97</v>
      </c>
      <c r="J195" s="111">
        <f>TRUNC(L195/F195,4)</f>
        <v>0.96989999999999998</v>
      </c>
      <c r="K195" s="111">
        <f t="shared" si="14"/>
        <v>618.65</v>
      </c>
      <c r="L195" s="111">
        <f t="shared" si="15"/>
        <v>618.65</v>
      </c>
      <c r="M195" s="112">
        <f>L195 / M428</f>
        <v>2.3365846462696188E-4</v>
      </c>
    </row>
    <row r="196" spans="1:13" ht="39" customHeight="1">
      <c r="A196" s="108" t="s">
        <v>221</v>
      </c>
      <c r="B196" s="108" t="s">
        <v>171</v>
      </c>
      <c r="C196" s="108" t="s">
        <v>48</v>
      </c>
      <c r="D196" s="108" t="s">
        <v>172</v>
      </c>
      <c r="E196" s="109" t="s">
        <v>49</v>
      </c>
      <c r="F196" s="110">
        <v>637.79</v>
      </c>
      <c r="G196" s="111">
        <v>2.87</v>
      </c>
      <c r="H196" s="111">
        <f>ROUND(J196/(1+$B$4),2)</f>
        <v>2.87</v>
      </c>
      <c r="I196" s="111">
        <f>TRUNC(TRUNC(G196 * B4, 2) + G196, 2)</f>
        <v>3.47</v>
      </c>
      <c r="J196" s="111">
        <f>TRUNC(L196/F196,4)</f>
        <v>3.4699</v>
      </c>
      <c r="K196" s="111">
        <f t="shared" si="14"/>
        <v>2213.13</v>
      </c>
      <c r="L196" s="111">
        <f t="shared" si="15"/>
        <v>2213.13</v>
      </c>
      <c r="M196" s="112">
        <f>L196 / M428</f>
        <v>8.3587902338942569E-4</v>
      </c>
    </row>
    <row r="197" spans="1:13" ht="39" customHeight="1">
      <c r="A197" s="108" t="s">
        <v>222</v>
      </c>
      <c r="B197" s="108" t="s">
        <v>731</v>
      </c>
      <c r="C197" s="108" t="s">
        <v>35</v>
      </c>
      <c r="D197" s="108" t="s">
        <v>732</v>
      </c>
      <c r="E197" s="109" t="s">
        <v>70</v>
      </c>
      <c r="F197" s="110">
        <v>31.89</v>
      </c>
      <c r="G197" s="111">
        <v>287.64</v>
      </c>
      <c r="H197" s="111">
        <f>ROUND(J197/(1+$B$4),2)</f>
        <v>287.64</v>
      </c>
      <c r="I197" s="111">
        <f>TRUNC(TRUNC(G197 * B4, 2) + G197, 2)</f>
        <v>347.87</v>
      </c>
      <c r="J197" s="111">
        <f>TRUNC(L197/F197,4)</f>
        <v>347.8698</v>
      </c>
      <c r="K197" s="111">
        <f t="shared" si="14"/>
        <v>11093.57</v>
      </c>
      <c r="L197" s="111">
        <f t="shared" si="15"/>
        <v>11093.57</v>
      </c>
      <c r="M197" s="112">
        <f>L197 / M428</f>
        <v>4.1899402463941252E-3</v>
      </c>
    </row>
    <row r="198" spans="1:13" ht="39" customHeight="1">
      <c r="A198" s="108" t="s">
        <v>225</v>
      </c>
      <c r="B198" s="108" t="s">
        <v>219</v>
      </c>
      <c r="C198" s="108" t="s">
        <v>48</v>
      </c>
      <c r="D198" s="108" t="s">
        <v>220</v>
      </c>
      <c r="E198" s="109" t="s">
        <v>49</v>
      </c>
      <c r="F198" s="110">
        <v>637.79</v>
      </c>
      <c r="G198" s="111">
        <v>71.900000000000006</v>
      </c>
      <c r="H198" s="111">
        <f>ROUND(J198/(1+$B$4),2)</f>
        <v>71.900000000000006</v>
      </c>
      <c r="I198" s="111">
        <f>TRUNC(TRUNC(G198 * B4, 2) + G198, 2)</f>
        <v>86.95</v>
      </c>
      <c r="J198" s="111">
        <f>TRUNC(L198/F198,4)</f>
        <v>86.9499</v>
      </c>
      <c r="K198" s="111">
        <f t="shared" si="14"/>
        <v>55455.839999999997</v>
      </c>
      <c r="L198" s="111">
        <f t="shared" si="15"/>
        <v>55455.839999999997</v>
      </c>
      <c r="M198" s="112">
        <f>L198 / M428</f>
        <v>2.0945165164468534E-2</v>
      </c>
    </row>
    <row r="199" spans="1:13" ht="24" customHeight="1">
      <c r="A199" s="103" t="s">
        <v>13</v>
      </c>
      <c r="B199" s="103" t="s">
        <v>30</v>
      </c>
      <c r="C199" s="103"/>
      <c r="D199" s="103" t="s">
        <v>432</v>
      </c>
      <c r="E199" s="104"/>
      <c r="F199" s="105">
        <v>1</v>
      </c>
      <c r="G199" s="105" t="s">
        <v>31</v>
      </c>
      <c r="H199" s="105"/>
      <c r="I199" s="106">
        <f>K200 + K218 + K228</f>
        <v>27294.469999999998</v>
      </c>
      <c r="J199" s="106">
        <f>L200 + L218 + L228</f>
        <v>27294.469999999998</v>
      </c>
      <c r="K199" s="106">
        <f t="shared" si="14"/>
        <v>27294.47</v>
      </c>
      <c r="L199" s="106">
        <f t="shared" si="15"/>
        <v>27294.47</v>
      </c>
      <c r="M199" s="107">
        <f>L199 / M428</f>
        <v>1.0308872469096699E-2</v>
      </c>
    </row>
    <row r="200" spans="1:13" ht="24" customHeight="1">
      <c r="A200" s="103" t="s">
        <v>242</v>
      </c>
      <c r="B200" s="103" t="s">
        <v>30</v>
      </c>
      <c r="C200" s="103"/>
      <c r="D200" s="103" t="s">
        <v>733</v>
      </c>
      <c r="E200" s="104"/>
      <c r="F200" s="105">
        <v>1</v>
      </c>
      <c r="G200" s="105" t="s">
        <v>31</v>
      </c>
      <c r="H200" s="105"/>
      <c r="I200" s="106">
        <f>K201 + K202 + K203 + K204 + K205 + K206 + K207 + K208 + K209 + K210 + K211 + K212 + K213 + K214 + K215 + K216 + K217</f>
        <v>3952.9400000000005</v>
      </c>
      <c r="J200" s="106">
        <f>L201 + L202 + L203 + L204 + L205 + L206 + L207 + L208 + L209 + L210 + L211 + L212 + L213 + L214 + L215 + L216 + L217</f>
        <v>3952.9400000000005</v>
      </c>
      <c r="K200" s="106">
        <f t="shared" si="14"/>
        <v>3952.94</v>
      </c>
      <c r="L200" s="106">
        <f t="shared" si="15"/>
        <v>3952.94</v>
      </c>
      <c r="M200" s="107">
        <f>L200 / M428</f>
        <v>1.4929893981451593E-3</v>
      </c>
    </row>
    <row r="201" spans="1:13" ht="65" customHeight="1">
      <c r="A201" s="108" t="s">
        <v>243</v>
      </c>
      <c r="B201" s="108" t="s">
        <v>734</v>
      </c>
      <c r="C201" s="108" t="s">
        <v>35</v>
      </c>
      <c r="D201" s="108" t="s">
        <v>735</v>
      </c>
      <c r="E201" s="109" t="s">
        <v>63</v>
      </c>
      <c r="F201" s="110">
        <v>36</v>
      </c>
      <c r="G201" s="111">
        <v>24.42</v>
      </c>
      <c r="H201" s="111">
        <f t="shared" ref="H201:H217" si="22">ROUND(J201/(1+$B$4),2)</f>
        <v>24.42</v>
      </c>
      <c r="I201" s="111">
        <f>TRUNC(TRUNC(G201 * B4, 2) + G201, 2)</f>
        <v>29.53</v>
      </c>
      <c r="J201" s="111">
        <f t="shared" ref="J201:J217" si="23">TRUNC(L201/F201,4)</f>
        <v>29.53</v>
      </c>
      <c r="K201" s="111">
        <f t="shared" ref="K201:K264" si="24">TRUNC(F201 * I201,2)</f>
        <v>1063.08</v>
      </c>
      <c r="L201" s="111">
        <f t="shared" si="15"/>
        <v>1063.08</v>
      </c>
      <c r="M201" s="112">
        <f>L201 / M428</f>
        <v>4.015156236573679E-4</v>
      </c>
    </row>
    <row r="202" spans="1:13" ht="24" customHeight="1">
      <c r="A202" s="108" t="s">
        <v>251</v>
      </c>
      <c r="B202" s="108" t="s">
        <v>100</v>
      </c>
      <c r="C202" s="108" t="s">
        <v>48</v>
      </c>
      <c r="D202" s="108" t="s">
        <v>539</v>
      </c>
      <c r="E202" s="109" t="s">
        <v>63</v>
      </c>
      <c r="F202" s="110">
        <v>36</v>
      </c>
      <c r="G202" s="111">
        <v>10.16</v>
      </c>
      <c r="H202" s="111">
        <f t="shared" si="22"/>
        <v>10.15</v>
      </c>
      <c r="I202" s="111">
        <f>TRUNC(TRUNC(G202 * B4, 2) + G202, 2)</f>
        <v>12.28</v>
      </c>
      <c r="J202" s="111">
        <f t="shared" si="23"/>
        <v>12.28</v>
      </c>
      <c r="K202" s="111">
        <f t="shared" si="24"/>
        <v>442.08</v>
      </c>
      <c r="L202" s="111">
        <f t="shared" ref="L202:L265" si="25">ROUND((1-$B$6) * K202,2)</f>
        <v>442.08</v>
      </c>
      <c r="M202" s="112">
        <f>L202 / M428</f>
        <v>1.6696958545589155E-4</v>
      </c>
    </row>
    <row r="203" spans="1:13" ht="65" customHeight="1">
      <c r="A203" s="108" t="s">
        <v>262</v>
      </c>
      <c r="B203" s="108" t="s">
        <v>321</v>
      </c>
      <c r="C203" s="108" t="s">
        <v>48</v>
      </c>
      <c r="D203" s="108" t="s">
        <v>736</v>
      </c>
      <c r="E203" s="109" t="s">
        <v>737</v>
      </c>
      <c r="F203" s="110">
        <v>32.4</v>
      </c>
      <c r="G203" s="111">
        <v>9.25</v>
      </c>
      <c r="H203" s="111">
        <f t="shared" si="22"/>
        <v>9.24</v>
      </c>
      <c r="I203" s="111">
        <f>TRUNC(TRUNC(G203 * B4, 2) + G203, 2)</f>
        <v>11.18</v>
      </c>
      <c r="J203" s="111">
        <f t="shared" si="23"/>
        <v>11.1799</v>
      </c>
      <c r="K203" s="111">
        <f t="shared" si="24"/>
        <v>362.23</v>
      </c>
      <c r="L203" s="111">
        <f t="shared" si="25"/>
        <v>362.23</v>
      </c>
      <c r="M203" s="112">
        <f>L203 / M428</f>
        <v>1.368109684665391E-4</v>
      </c>
    </row>
    <row r="204" spans="1:13" ht="26" customHeight="1">
      <c r="A204" s="108" t="s">
        <v>738</v>
      </c>
      <c r="B204" s="108" t="s">
        <v>109</v>
      </c>
      <c r="C204" s="108" t="s">
        <v>48</v>
      </c>
      <c r="D204" s="108" t="s">
        <v>110</v>
      </c>
      <c r="E204" s="109" t="s">
        <v>49</v>
      </c>
      <c r="F204" s="110">
        <v>21.6</v>
      </c>
      <c r="G204" s="111">
        <v>7.36</v>
      </c>
      <c r="H204" s="111">
        <f t="shared" si="22"/>
        <v>7.36</v>
      </c>
      <c r="I204" s="111">
        <f>TRUNC(TRUNC(G204 * B4, 2) + G204, 2)</f>
        <v>8.9</v>
      </c>
      <c r="J204" s="111">
        <f t="shared" si="23"/>
        <v>8.9</v>
      </c>
      <c r="K204" s="111">
        <f t="shared" si="24"/>
        <v>192.24</v>
      </c>
      <c r="L204" s="111">
        <f t="shared" si="25"/>
        <v>192.24</v>
      </c>
      <c r="M204" s="112">
        <f>L204 / M428</f>
        <v>7.26072953041092E-5</v>
      </c>
    </row>
    <row r="205" spans="1:13" ht="26" customHeight="1">
      <c r="A205" s="108" t="s">
        <v>739</v>
      </c>
      <c r="B205" s="108" t="s">
        <v>592</v>
      </c>
      <c r="C205" s="108" t="s">
        <v>48</v>
      </c>
      <c r="D205" s="108" t="s">
        <v>593</v>
      </c>
      <c r="E205" s="109" t="s">
        <v>70</v>
      </c>
      <c r="F205" s="110">
        <v>20.52</v>
      </c>
      <c r="G205" s="111">
        <v>24.75</v>
      </c>
      <c r="H205" s="111">
        <f t="shared" si="22"/>
        <v>24.75</v>
      </c>
      <c r="I205" s="111">
        <f>TRUNC(TRUNC(G205 * B4, 2) + G205, 2)</f>
        <v>29.93</v>
      </c>
      <c r="J205" s="111">
        <f t="shared" si="23"/>
        <v>29.9298</v>
      </c>
      <c r="K205" s="111">
        <f t="shared" si="24"/>
        <v>614.16</v>
      </c>
      <c r="L205" s="111">
        <f t="shared" si="25"/>
        <v>614.16</v>
      </c>
      <c r="M205" s="112">
        <f>L205 / M428</f>
        <v>2.3196263256331515E-4</v>
      </c>
    </row>
    <row r="206" spans="1:13" ht="52" customHeight="1">
      <c r="A206" s="108" t="s">
        <v>740</v>
      </c>
      <c r="B206" s="108" t="s">
        <v>741</v>
      </c>
      <c r="C206" s="108" t="s">
        <v>48</v>
      </c>
      <c r="D206" s="108" t="s">
        <v>742</v>
      </c>
      <c r="E206" s="109" t="s">
        <v>36</v>
      </c>
      <c r="F206" s="110">
        <v>1</v>
      </c>
      <c r="G206" s="111">
        <v>199.22</v>
      </c>
      <c r="H206" s="111">
        <f t="shared" si="22"/>
        <v>199.21</v>
      </c>
      <c r="I206" s="111">
        <f>TRUNC(TRUNC(G206 * B4, 2) + G206, 2)</f>
        <v>240.93</v>
      </c>
      <c r="J206" s="111">
        <f t="shared" si="23"/>
        <v>240.93</v>
      </c>
      <c r="K206" s="111">
        <f t="shared" si="24"/>
        <v>240.93</v>
      </c>
      <c r="L206" s="111">
        <f t="shared" si="25"/>
        <v>240.93</v>
      </c>
      <c r="M206" s="112">
        <f>L206 / M428</f>
        <v>9.0997064386282923E-5</v>
      </c>
    </row>
    <row r="207" spans="1:13" ht="39" customHeight="1">
      <c r="A207" s="108" t="s">
        <v>743</v>
      </c>
      <c r="B207" s="108" t="s">
        <v>744</v>
      </c>
      <c r="C207" s="108" t="s">
        <v>48</v>
      </c>
      <c r="D207" s="108" t="s">
        <v>745</v>
      </c>
      <c r="E207" s="109" t="s">
        <v>36</v>
      </c>
      <c r="F207" s="110">
        <v>3</v>
      </c>
      <c r="G207" s="111">
        <v>26.64</v>
      </c>
      <c r="H207" s="111">
        <f t="shared" si="22"/>
        <v>26.63</v>
      </c>
      <c r="I207" s="111">
        <f>TRUNC(TRUNC(G207 * B4, 2) + G207, 2)</f>
        <v>32.21</v>
      </c>
      <c r="J207" s="111">
        <f t="shared" si="23"/>
        <v>32.21</v>
      </c>
      <c r="K207" s="111">
        <f t="shared" si="24"/>
        <v>96.63</v>
      </c>
      <c r="L207" s="111">
        <f t="shared" si="25"/>
        <v>96.63</v>
      </c>
      <c r="M207" s="112">
        <f>L207 / M428</f>
        <v>3.6496270002268371E-5</v>
      </c>
    </row>
    <row r="208" spans="1:13" ht="52" customHeight="1">
      <c r="A208" s="108" t="s">
        <v>746</v>
      </c>
      <c r="B208" s="108" t="s">
        <v>747</v>
      </c>
      <c r="C208" s="108" t="s">
        <v>48</v>
      </c>
      <c r="D208" s="108" t="s">
        <v>748</v>
      </c>
      <c r="E208" s="109" t="s">
        <v>36</v>
      </c>
      <c r="F208" s="110">
        <v>2</v>
      </c>
      <c r="G208" s="111">
        <v>16.440000000000001</v>
      </c>
      <c r="H208" s="111">
        <f t="shared" si="22"/>
        <v>16.440000000000001</v>
      </c>
      <c r="I208" s="111">
        <f>TRUNC(TRUNC(G208 * B4, 2) + G208, 2)</f>
        <v>19.88</v>
      </c>
      <c r="J208" s="111">
        <f t="shared" si="23"/>
        <v>19.88</v>
      </c>
      <c r="K208" s="111">
        <f t="shared" si="24"/>
        <v>39.76</v>
      </c>
      <c r="L208" s="111">
        <f t="shared" si="25"/>
        <v>39.76</v>
      </c>
      <c r="M208" s="112">
        <f>L208 / M428</f>
        <v>1.5016989499018839E-5</v>
      </c>
    </row>
    <row r="209" spans="1:13" ht="26" customHeight="1">
      <c r="A209" s="108" t="s">
        <v>749</v>
      </c>
      <c r="B209" s="108" t="s">
        <v>750</v>
      </c>
      <c r="C209" s="108" t="s">
        <v>48</v>
      </c>
      <c r="D209" s="108" t="s">
        <v>751</v>
      </c>
      <c r="E209" s="109" t="s">
        <v>36</v>
      </c>
      <c r="F209" s="110">
        <v>1</v>
      </c>
      <c r="G209" s="111">
        <v>151.51</v>
      </c>
      <c r="H209" s="111">
        <f t="shared" si="22"/>
        <v>151.5</v>
      </c>
      <c r="I209" s="111">
        <f>TRUNC(TRUNC(G209 * B4, 2) + G209, 2)</f>
        <v>183.23</v>
      </c>
      <c r="J209" s="111">
        <f t="shared" si="23"/>
        <v>183.23</v>
      </c>
      <c r="K209" s="111">
        <f t="shared" si="24"/>
        <v>183.23</v>
      </c>
      <c r="L209" s="111">
        <f t="shared" si="25"/>
        <v>183.23</v>
      </c>
      <c r="M209" s="112">
        <f>L209 / M428</f>
        <v>6.9204300450332538E-5</v>
      </c>
    </row>
    <row r="210" spans="1:13" ht="65" customHeight="1">
      <c r="A210" s="108" t="s">
        <v>752</v>
      </c>
      <c r="B210" s="108" t="s">
        <v>753</v>
      </c>
      <c r="C210" s="108" t="s">
        <v>48</v>
      </c>
      <c r="D210" s="108" t="s">
        <v>754</v>
      </c>
      <c r="E210" s="109" t="s">
        <v>36</v>
      </c>
      <c r="F210" s="110">
        <v>2</v>
      </c>
      <c r="G210" s="111">
        <v>21.47</v>
      </c>
      <c r="H210" s="111">
        <f t="shared" si="22"/>
        <v>21.47</v>
      </c>
      <c r="I210" s="111">
        <f>TRUNC(TRUNC(G210 * B4, 2) + G210, 2)</f>
        <v>25.96</v>
      </c>
      <c r="J210" s="111">
        <f t="shared" si="23"/>
        <v>25.96</v>
      </c>
      <c r="K210" s="111">
        <f t="shared" si="24"/>
        <v>51.92</v>
      </c>
      <c r="L210" s="111">
        <f t="shared" si="25"/>
        <v>51.92</v>
      </c>
      <c r="M210" s="112">
        <f>L210 / M428</f>
        <v>1.9609710633527621E-5</v>
      </c>
    </row>
    <row r="211" spans="1:13" ht="39" customHeight="1">
      <c r="A211" s="108" t="s">
        <v>755</v>
      </c>
      <c r="B211" s="108" t="s">
        <v>756</v>
      </c>
      <c r="C211" s="108" t="s">
        <v>48</v>
      </c>
      <c r="D211" s="108" t="s">
        <v>757</v>
      </c>
      <c r="E211" s="109" t="s">
        <v>36</v>
      </c>
      <c r="F211" s="110">
        <v>1</v>
      </c>
      <c r="G211" s="111">
        <v>15.86</v>
      </c>
      <c r="H211" s="111">
        <f t="shared" si="22"/>
        <v>15.86</v>
      </c>
      <c r="I211" s="111">
        <f>TRUNC(TRUNC(G211 * B4, 2) + G211, 2)</f>
        <v>19.18</v>
      </c>
      <c r="J211" s="111">
        <f t="shared" si="23"/>
        <v>19.18</v>
      </c>
      <c r="K211" s="111">
        <f t="shared" si="24"/>
        <v>19.18</v>
      </c>
      <c r="L211" s="111">
        <f t="shared" si="25"/>
        <v>19.18</v>
      </c>
      <c r="M211" s="112">
        <f>L211 / M428</f>
        <v>7.2441111315689474E-6</v>
      </c>
    </row>
    <row r="212" spans="1:13" ht="65" customHeight="1">
      <c r="A212" s="108" t="s">
        <v>758</v>
      </c>
      <c r="B212" s="108" t="s">
        <v>759</v>
      </c>
      <c r="C212" s="108" t="s">
        <v>48</v>
      </c>
      <c r="D212" s="108" t="s">
        <v>760</v>
      </c>
      <c r="E212" s="109" t="s">
        <v>36</v>
      </c>
      <c r="F212" s="110">
        <v>2</v>
      </c>
      <c r="G212" s="111">
        <v>21.51</v>
      </c>
      <c r="H212" s="111">
        <f t="shared" si="22"/>
        <v>21.51</v>
      </c>
      <c r="I212" s="111">
        <f>TRUNC(TRUNC(G212 * B4, 2) + G212, 2)</f>
        <v>26.01</v>
      </c>
      <c r="J212" s="111">
        <f t="shared" si="23"/>
        <v>26.01</v>
      </c>
      <c r="K212" s="111">
        <f t="shared" si="24"/>
        <v>52.02</v>
      </c>
      <c r="L212" s="111">
        <f t="shared" si="25"/>
        <v>52.02</v>
      </c>
      <c r="M212" s="112">
        <f>L212 / M428</f>
        <v>1.9647479721804832E-5</v>
      </c>
    </row>
    <row r="213" spans="1:13" ht="26" customHeight="1">
      <c r="A213" s="108" t="s">
        <v>761</v>
      </c>
      <c r="B213" s="108" t="s">
        <v>245</v>
      </c>
      <c r="C213" s="108" t="s">
        <v>48</v>
      </c>
      <c r="D213" s="108" t="s">
        <v>762</v>
      </c>
      <c r="E213" s="109" t="s">
        <v>36</v>
      </c>
      <c r="F213" s="110">
        <v>1</v>
      </c>
      <c r="G213" s="111">
        <v>176.37</v>
      </c>
      <c r="H213" s="111">
        <f t="shared" si="22"/>
        <v>176.37</v>
      </c>
      <c r="I213" s="111">
        <f>TRUNC(TRUNC(G213 * B4, 2) + G213, 2)</f>
        <v>213.3</v>
      </c>
      <c r="J213" s="111">
        <f t="shared" si="23"/>
        <v>213.3</v>
      </c>
      <c r="K213" s="111">
        <f t="shared" si="24"/>
        <v>213.3</v>
      </c>
      <c r="L213" s="111">
        <f t="shared" si="25"/>
        <v>213.3</v>
      </c>
      <c r="M213" s="112">
        <f>L213 / M428</f>
        <v>8.0561465295289701E-5</v>
      </c>
    </row>
    <row r="214" spans="1:13" ht="52" customHeight="1">
      <c r="A214" s="108" t="s">
        <v>763</v>
      </c>
      <c r="B214" s="108" t="s">
        <v>244</v>
      </c>
      <c r="C214" s="108" t="s">
        <v>48</v>
      </c>
      <c r="D214" s="108" t="s">
        <v>764</v>
      </c>
      <c r="E214" s="109" t="s">
        <v>36</v>
      </c>
      <c r="F214" s="110">
        <v>1</v>
      </c>
      <c r="G214" s="111">
        <v>183.53</v>
      </c>
      <c r="H214" s="111">
        <f t="shared" si="22"/>
        <v>183.53</v>
      </c>
      <c r="I214" s="111">
        <f>TRUNC(TRUNC(G214 * B4, 2) + G214, 2)</f>
        <v>221.96</v>
      </c>
      <c r="J214" s="111">
        <f t="shared" si="23"/>
        <v>221.96</v>
      </c>
      <c r="K214" s="111">
        <f t="shared" si="24"/>
        <v>221.96</v>
      </c>
      <c r="L214" s="111">
        <f t="shared" si="25"/>
        <v>221.96</v>
      </c>
      <c r="M214" s="112">
        <f>L214 / M428</f>
        <v>8.3832268340096122E-5</v>
      </c>
    </row>
    <row r="215" spans="1:13" ht="52" customHeight="1">
      <c r="A215" s="108" t="s">
        <v>765</v>
      </c>
      <c r="B215" s="108" t="s">
        <v>246</v>
      </c>
      <c r="C215" s="108" t="s">
        <v>48</v>
      </c>
      <c r="D215" s="108" t="s">
        <v>766</v>
      </c>
      <c r="E215" s="109" t="s">
        <v>63</v>
      </c>
      <c r="F215" s="110">
        <v>12</v>
      </c>
      <c r="G215" s="111">
        <v>7.34</v>
      </c>
      <c r="H215" s="111">
        <f t="shared" si="22"/>
        <v>7.33</v>
      </c>
      <c r="I215" s="111">
        <f>TRUNC(TRUNC(G215 * B4, 2) + G215, 2)</f>
        <v>8.8699999999999992</v>
      </c>
      <c r="J215" s="111">
        <f t="shared" si="23"/>
        <v>8.8699999999999992</v>
      </c>
      <c r="K215" s="111">
        <f t="shared" si="24"/>
        <v>106.44</v>
      </c>
      <c r="L215" s="111">
        <f t="shared" si="25"/>
        <v>106.44</v>
      </c>
      <c r="M215" s="112">
        <f>L215 / M428</f>
        <v>4.0201417562262711E-5</v>
      </c>
    </row>
    <row r="216" spans="1:13" ht="39" customHeight="1">
      <c r="A216" s="108" t="s">
        <v>767</v>
      </c>
      <c r="B216" s="108" t="s">
        <v>768</v>
      </c>
      <c r="C216" s="108" t="s">
        <v>48</v>
      </c>
      <c r="D216" s="108" t="s">
        <v>769</v>
      </c>
      <c r="E216" s="109" t="s">
        <v>36</v>
      </c>
      <c r="F216" s="110">
        <v>2</v>
      </c>
      <c r="G216" s="111">
        <v>11.54</v>
      </c>
      <c r="H216" s="111">
        <f t="shared" si="22"/>
        <v>11.53</v>
      </c>
      <c r="I216" s="111">
        <f>TRUNC(TRUNC(G216 * B4, 2) + G216, 2)</f>
        <v>13.95</v>
      </c>
      <c r="J216" s="111">
        <f t="shared" si="23"/>
        <v>13.95</v>
      </c>
      <c r="K216" s="111">
        <f t="shared" si="24"/>
        <v>27.9</v>
      </c>
      <c r="L216" s="111">
        <f t="shared" si="25"/>
        <v>27.9</v>
      </c>
      <c r="M216" s="112">
        <f>L216 / M428</f>
        <v>1.0537575629341691E-5</v>
      </c>
    </row>
    <row r="217" spans="1:13" ht="39" customHeight="1">
      <c r="A217" s="108" t="s">
        <v>770</v>
      </c>
      <c r="B217" s="108" t="s">
        <v>256</v>
      </c>
      <c r="C217" s="108" t="s">
        <v>48</v>
      </c>
      <c r="D217" s="108" t="s">
        <v>257</v>
      </c>
      <c r="E217" s="109" t="s">
        <v>36</v>
      </c>
      <c r="F217" s="110">
        <v>2</v>
      </c>
      <c r="G217" s="111">
        <v>10.7</v>
      </c>
      <c r="H217" s="111">
        <f t="shared" si="22"/>
        <v>10.7</v>
      </c>
      <c r="I217" s="111">
        <f>TRUNC(TRUNC(G217 * B4, 2) + G217, 2)</f>
        <v>12.94</v>
      </c>
      <c r="J217" s="111">
        <f t="shared" si="23"/>
        <v>12.94</v>
      </c>
      <c r="K217" s="111">
        <f t="shared" si="24"/>
        <v>25.88</v>
      </c>
      <c r="L217" s="111">
        <f t="shared" si="25"/>
        <v>25.88</v>
      </c>
      <c r="M217" s="112">
        <f>L217 / M428</f>
        <v>9.7746400461420408E-6</v>
      </c>
    </row>
    <row r="218" spans="1:13" ht="24" customHeight="1">
      <c r="A218" s="103" t="s">
        <v>263</v>
      </c>
      <c r="B218" s="103" t="s">
        <v>30</v>
      </c>
      <c r="C218" s="103"/>
      <c r="D218" s="103" t="s">
        <v>771</v>
      </c>
      <c r="E218" s="104"/>
      <c r="F218" s="105">
        <v>1</v>
      </c>
      <c r="G218" s="105" t="s">
        <v>31</v>
      </c>
      <c r="H218" s="105"/>
      <c r="I218" s="106">
        <f>K219 + K220 + K221 + K222 + K223 + K224 + K225 + K226 + K227</f>
        <v>20380.849999999999</v>
      </c>
      <c r="J218" s="106">
        <f>L219 + L220 + L221 + L222 + L223 + L224 + L225 + L226 + L227</f>
        <v>20380.849999999999</v>
      </c>
      <c r="K218" s="106">
        <f t="shared" si="24"/>
        <v>20380.849999999999</v>
      </c>
      <c r="L218" s="106">
        <f t="shared" si="25"/>
        <v>20380.849999999999</v>
      </c>
      <c r="M218" s="107">
        <f>L218 / M428</f>
        <v>7.6976612281458275E-3</v>
      </c>
    </row>
    <row r="219" spans="1:13" ht="52" customHeight="1">
      <c r="A219" s="108" t="s">
        <v>264</v>
      </c>
      <c r="B219" s="108" t="s">
        <v>772</v>
      </c>
      <c r="C219" s="108" t="s">
        <v>48</v>
      </c>
      <c r="D219" s="108" t="s">
        <v>773</v>
      </c>
      <c r="E219" s="109" t="s">
        <v>63</v>
      </c>
      <c r="F219" s="110">
        <v>104</v>
      </c>
      <c r="G219" s="111">
        <v>117.51</v>
      </c>
      <c r="H219" s="111">
        <f t="shared" ref="H219:H227" si="26">ROUND(J219/(1+$B$4),2)</f>
        <v>117.5</v>
      </c>
      <c r="I219" s="111">
        <f>TRUNC(TRUNC(G219 * B4, 2) + G219, 2)</f>
        <v>142.11000000000001</v>
      </c>
      <c r="J219" s="111">
        <f t="shared" ref="J219:J227" si="27">TRUNC(L219/F219,4)</f>
        <v>142.11000000000001</v>
      </c>
      <c r="K219" s="111">
        <f t="shared" si="24"/>
        <v>14779.44</v>
      </c>
      <c r="L219" s="111">
        <f t="shared" si="25"/>
        <v>14779.44</v>
      </c>
      <c r="M219" s="112">
        <f>L219 / M428</f>
        <v>5.5820597404773395E-3</v>
      </c>
    </row>
    <row r="220" spans="1:13" ht="26" customHeight="1">
      <c r="A220" s="108" t="s">
        <v>269</v>
      </c>
      <c r="B220" s="108" t="s">
        <v>140</v>
      </c>
      <c r="C220" s="108" t="s">
        <v>48</v>
      </c>
      <c r="D220" s="108" t="s">
        <v>141</v>
      </c>
      <c r="E220" s="109" t="s">
        <v>36</v>
      </c>
      <c r="F220" s="110">
        <v>4</v>
      </c>
      <c r="G220" s="111">
        <v>19.489999999999998</v>
      </c>
      <c r="H220" s="111">
        <f t="shared" si="26"/>
        <v>19.489999999999998</v>
      </c>
      <c r="I220" s="111">
        <f>TRUNC(TRUNC(G220 * B4, 2) + G220, 2)</f>
        <v>23.57</v>
      </c>
      <c r="J220" s="111">
        <f t="shared" si="27"/>
        <v>23.57</v>
      </c>
      <c r="K220" s="111">
        <f t="shared" si="24"/>
        <v>94.28</v>
      </c>
      <c r="L220" s="111">
        <f t="shared" si="25"/>
        <v>94.28</v>
      </c>
      <c r="M220" s="112">
        <f>L220 / M428</f>
        <v>3.5608696427753928E-5</v>
      </c>
    </row>
    <row r="221" spans="1:13" ht="26" customHeight="1">
      <c r="A221" s="108" t="s">
        <v>270</v>
      </c>
      <c r="B221" s="108" t="s">
        <v>136</v>
      </c>
      <c r="C221" s="108" t="s">
        <v>48</v>
      </c>
      <c r="D221" s="108" t="s">
        <v>137</v>
      </c>
      <c r="E221" s="109" t="s">
        <v>138</v>
      </c>
      <c r="F221" s="110">
        <v>97.65</v>
      </c>
      <c r="G221" s="111">
        <v>8.07</v>
      </c>
      <c r="H221" s="111">
        <f t="shared" si="26"/>
        <v>8.06</v>
      </c>
      <c r="I221" s="111">
        <f>TRUNC(TRUNC(G221 * B4, 2) + G221, 2)</f>
        <v>9.75</v>
      </c>
      <c r="J221" s="111">
        <f t="shared" si="27"/>
        <v>9.7499000000000002</v>
      </c>
      <c r="K221" s="111">
        <f t="shared" si="24"/>
        <v>952.08</v>
      </c>
      <c r="L221" s="111">
        <f t="shared" si="25"/>
        <v>952.08</v>
      </c>
      <c r="M221" s="112">
        <f>L221 / M428</f>
        <v>3.5959193566966445E-4</v>
      </c>
    </row>
    <row r="222" spans="1:13" ht="39" customHeight="1">
      <c r="A222" s="108" t="s">
        <v>271</v>
      </c>
      <c r="B222" s="108" t="s">
        <v>147</v>
      </c>
      <c r="C222" s="108" t="s">
        <v>48</v>
      </c>
      <c r="D222" s="108" t="s">
        <v>774</v>
      </c>
      <c r="E222" s="109" t="s">
        <v>70</v>
      </c>
      <c r="F222" s="110">
        <v>2.88</v>
      </c>
      <c r="G222" s="111">
        <v>42.29</v>
      </c>
      <c r="H222" s="111">
        <f t="shared" si="26"/>
        <v>42.28</v>
      </c>
      <c r="I222" s="111">
        <f>TRUNC(TRUNC(G222 * B4, 2) + G222, 2)</f>
        <v>51.14</v>
      </c>
      <c r="J222" s="111">
        <f t="shared" si="27"/>
        <v>51.138800000000003</v>
      </c>
      <c r="K222" s="111">
        <f t="shared" si="24"/>
        <v>147.28</v>
      </c>
      <c r="L222" s="111">
        <f t="shared" si="25"/>
        <v>147.28</v>
      </c>
      <c r="M222" s="112">
        <f>L222 / M428</f>
        <v>5.562631321467542E-5</v>
      </c>
    </row>
    <row r="223" spans="1:13" ht="39" customHeight="1">
      <c r="A223" s="108" t="s">
        <v>272</v>
      </c>
      <c r="B223" s="108" t="s">
        <v>148</v>
      </c>
      <c r="C223" s="108" t="s">
        <v>48</v>
      </c>
      <c r="D223" s="108" t="s">
        <v>775</v>
      </c>
      <c r="E223" s="109" t="s">
        <v>49</v>
      </c>
      <c r="F223" s="110">
        <v>4.8</v>
      </c>
      <c r="G223" s="111">
        <v>83.03</v>
      </c>
      <c r="H223" s="111">
        <f t="shared" si="26"/>
        <v>83.02</v>
      </c>
      <c r="I223" s="111">
        <f>TRUNC(TRUNC(G223 * B4, 2) + G223, 2)</f>
        <v>100.41</v>
      </c>
      <c r="J223" s="111">
        <f t="shared" si="27"/>
        <v>100.4083</v>
      </c>
      <c r="K223" s="111">
        <f t="shared" si="24"/>
        <v>481.96</v>
      </c>
      <c r="L223" s="111">
        <f t="shared" si="25"/>
        <v>481.96</v>
      </c>
      <c r="M223" s="112">
        <f>L223 / M428</f>
        <v>1.8203189786084305E-4</v>
      </c>
    </row>
    <row r="224" spans="1:13" ht="52" customHeight="1">
      <c r="A224" s="108" t="s">
        <v>776</v>
      </c>
      <c r="B224" s="108" t="s">
        <v>777</v>
      </c>
      <c r="C224" s="108" t="s">
        <v>35</v>
      </c>
      <c r="D224" s="108" t="s">
        <v>778</v>
      </c>
      <c r="E224" s="109" t="s">
        <v>70</v>
      </c>
      <c r="F224" s="110">
        <v>2.4</v>
      </c>
      <c r="G224" s="111">
        <v>640.42999999999995</v>
      </c>
      <c r="H224" s="111">
        <f t="shared" si="26"/>
        <v>640.41999999999996</v>
      </c>
      <c r="I224" s="111">
        <f>TRUNC(TRUNC(G224 * B4, 2) + G224, 2)</f>
        <v>774.53</v>
      </c>
      <c r="J224" s="111">
        <f t="shared" si="27"/>
        <v>774.52909999999997</v>
      </c>
      <c r="K224" s="111">
        <f t="shared" si="24"/>
        <v>1858.87</v>
      </c>
      <c r="L224" s="111">
        <f t="shared" si="25"/>
        <v>1858.87</v>
      </c>
      <c r="M224" s="112">
        <f>L224 / M428</f>
        <v>7.0207825125858021E-4</v>
      </c>
    </row>
    <row r="225" spans="1:13" ht="26" customHeight="1">
      <c r="A225" s="108" t="s">
        <v>779</v>
      </c>
      <c r="B225" s="108" t="s">
        <v>149</v>
      </c>
      <c r="C225" s="108" t="s">
        <v>48</v>
      </c>
      <c r="D225" s="108" t="s">
        <v>426</v>
      </c>
      <c r="E225" s="109" t="s">
        <v>138</v>
      </c>
      <c r="F225" s="110">
        <v>10.81</v>
      </c>
      <c r="G225" s="111">
        <v>20.69</v>
      </c>
      <c r="H225" s="111">
        <f t="shared" si="26"/>
        <v>20.69</v>
      </c>
      <c r="I225" s="111">
        <f>TRUNC(TRUNC(G225 * B4, 2) + G225, 2)</f>
        <v>25.02</v>
      </c>
      <c r="J225" s="111">
        <f t="shared" si="27"/>
        <v>25.019400000000001</v>
      </c>
      <c r="K225" s="111">
        <f t="shared" si="24"/>
        <v>270.45999999999998</v>
      </c>
      <c r="L225" s="111">
        <f t="shared" si="25"/>
        <v>270.45999999999998</v>
      </c>
      <c r="M225" s="112">
        <f>L225 / M428</f>
        <v>1.0215027615454314E-4</v>
      </c>
    </row>
    <row r="226" spans="1:13" ht="26" customHeight="1">
      <c r="A226" s="108" t="s">
        <v>780</v>
      </c>
      <c r="B226" s="108" t="s">
        <v>150</v>
      </c>
      <c r="C226" s="108" t="s">
        <v>48</v>
      </c>
      <c r="D226" s="108" t="s">
        <v>636</v>
      </c>
      <c r="E226" s="109" t="s">
        <v>138</v>
      </c>
      <c r="F226" s="110">
        <v>101.24</v>
      </c>
      <c r="G226" s="111">
        <v>13.64</v>
      </c>
      <c r="H226" s="111">
        <f t="shared" si="26"/>
        <v>13.63</v>
      </c>
      <c r="I226" s="111">
        <f>TRUNC(TRUNC(G226 * B4, 2) + G226, 2)</f>
        <v>16.489999999999998</v>
      </c>
      <c r="J226" s="111">
        <f t="shared" si="27"/>
        <v>16.489899999999999</v>
      </c>
      <c r="K226" s="111">
        <f t="shared" si="24"/>
        <v>1669.44</v>
      </c>
      <c r="L226" s="111">
        <f t="shared" si="25"/>
        <v>1669.44</v>
      </c>
      <c r="M226" s="112">
        <f>L226 / M428</f>
        <v>6.3053226733506072E-4</v>
      </c>
    </row>
    <row r="227" spans="1:13" ht="26" customHeight="1">
      <c r="A227" s="108" t="s">
        <v>781</v>
      </c>
      <c r="B227" s="108" t="s">
        <v>782</v>
      </c>
      <c r="C227" s="108" t="s">
        <v>48</v>
      </c>
      <c r="D227" s="108" t="s">
        <v>783</v>
      </c>
      <c r="E227" s="109" t="s">
        <v>138</v>
      </c>
      <c r="F227" s="110">
        <v>11.56</v>
      </c>
      <c r="G227" s="111">
        <v>9.09</v>
      </c>
      <c r="H227" s="111">
        <f t="shared" si="26"/>
        <v>9.09</v>
      </c>
      <c r="I227" s="111">
        <f>TRUNC(TRUNC(G227 * B4, 2) + G227, 2)</f>
        <v>10.99</v>
      </c>
      <c r="J227" s="111">
        <f t="shared" si="27"/>
        <v>10.989599999999999</v>
      </c>
      <c r="K227" s="111">
        <f t="shared" si="24"/>
        <v>127.04</v>
      </c>
      <c r="L227" s="111">
        <f t="shared" si="25"/>
        <v>127.04</v>
      </c>
      <c r="M227" s="112">
        <f>L227 / M428</f>
        <v>4.7981849747368045E-5</v>
      </c>
    </row>
    <row r="228" spans="1:13" ht="24" customHeight="1">
      <c r="A228" s="103" t="s">
        <v>275</v>
      </c>
      <c r="B228" s="103" t="s">
        <v>30</v>
      </c>
      <c r="C228" s="103"/>
      <c r="D228" s="103" t="s">
        <v>784</v>
      </c>
      <c r="E228" s="104"/>
      <c r="F228" s="105">
        <v>1</v>
      </c>
      <c r="G228" s="105" t="s">
        <v>31</v>
      </c>
      <c r="H228" s="105"/>
      <c r="I228" s="106">
        <f>K229 + K230 + K231 + K232 + K233 + K234 + K235 + K236 + K237 + K238 + K239</f>
        <v>2960.68</v>
      </c>
      <c r="J228" s="106">
        <f>L229 + L230 + L231 + L232 + L233 + L234 + L235 + L236 + L237 + L238 + L239</f>
        <v>2960.68</v>
      </c>
      <c r="K228" s="106">
        <f t="shared" si="24"/>
        <v>2960.68</v>
      </c>
      <c r="L228" s="106">
        <f t="shared" si="25"/>
        <v>2960.68</v>
      </c>
      <c r="M228" s="107">
        <f>L228 / M428</f>
        <v>1.1182218428057117E-3</v>
      </c>
    </row>
    <row r="229" spans="1:13" ht="65" customHeight="1">
      <c r="A229" s="108" t="s">
        <v>276</v>
      </c>
      <c r="B229" s="108" t="s">
        <v>734</v>
      </c>
      <c r="C229" s="108" t="s">
        <v>35</v>
      </c>
      <c r="D229" s="108" t="s">
        <v>735</v>
      </c>
      <c r="E229" s="109" t="s">
        <v>63</v>
      </c>
      <c r="F229" s="110">
        <v>48</v>
      </c>
      <c r="G229" s="111">
        <v>24.42</v>
      </c>
      <c r="H229" s="111">
        <f t="shared" ref="H229:H239" si="28">ROUND(J229/(1+$B$4),2)</f>
        <v>24.42</v>
      </c>
      <c r="I229" s="111">
        <f>TRUNC(TRUNC(G229 * B4, 2) + G229, 2)</f>
        <v>29.53</v>
      </c>
      <c r="J229" s="111">
        <f t="shared" ref="J229:J239" si="29">TRUNC(L229/F229,4)</f>
        <v>29.53</v>
      </c>
      <c r="K229" s="111">
        <f t="shared" si="24"/>
        <v>1417.44</v>
      </c>
      <c r="L229" s="111">
        <f t="shared" si="25"/>
        <v>1417.44</v>
      </c>
      <c r="M229" s="112">
        <f>L229 / M428</f>
        <v>5.3535416487649054E-4</v>
      </c>
    </row>
    <row r="230" spans="1:13" ht="65" customHeight="1">
      <c r="A230" s="108" t="s">
        <v>277</v>
      </c>
      <c r="B230" s="108" t="s">
        <v>753</v>
      </c>
      <c r="C230" s="108" t="s">
        <v>48</v>
      </c>
      <c r="D230" s="108" t="s">
        <v>754</v>
      </c>
      <c r="E230" s="109" t="s">
        <v>36</v>
      </c>
      <c r="F230" s="110">
        <v>2</v>
      </c>
      <c r="G230" s="111">
        <v>21.47</v>
      </c>
      <c r="H230" s="111">
        <f t="shared" si="28"/>
        <v>21.47</v>
      </c>
      <c r="I230" s="111">
        <f>TRUNC(TRUNC(G230 * B4, 2) + G230, 2)</f>
        <v>25.96</v>
      </c>
      <c r="J230" s="111">
        <f t="shared" si="29"/>
        <v>25.96</v>
      </c>
      <c r="K230" s="111">
        <f t="shared" si="24"/>
        <v>51.92</v>
      </c>
      <c r="L230" s="111">
        <f t="shared" si="25"/>
        <v>51.92</v>
      </c>
      <c r="M230" s="112">
        <f>L230 / M428</f>
        <v>1.9609710633527621E-5</v>
      </c>
    </row>
    <row r="231" spans="1:13" ht="39" customHeight="1">
      <c r="A231" s="108" t="s">
        <v>278</v>
      </c>
      <c r="B231" s="108" t="s">
        <v>744</v>
      </c>
      <c r="C231" s="108" t="s">
        <v>48</v>
      </c>
      <c r="D231" s="108" t="s">
        <v>745</v>
      </c>
      <c r="E231" s="109" t="s">
        <v>36</v>
      </c>
      <c r="F231" s="110">
        <v>2</v>
      </c>
      <c r="G231" s="111">
        <v>26.64</v>
      </c>
      <c r="H231" s="111">
        <f t="shared" si="28"/>
        <v>26.63</v>
      </c>
      <c r="I231" s="111">
        <f>TRUNC(TRUNC(G231 * B4, 2) + G231, 2)</f>
        <v>32.21</v>
      </c>
      <c r="J231" s="111">
        <f t="shared" si="29"/>
        <v>32.21</v>
      </c>
      <c r="K231" s="111">
        <f t="shared" si="24"/>
        <v>64.42</v>
      </c>
      <c r="L231" s="111">
        <f t="shared" si="25"/>
        <v>64.42</v>
      </c>
      <c r="M231" s="112">
        <f>L231 / M428</f>
        <v>2.4330846668178915E-5</v>
      </c>
    </row>
    <row r="232" spans="1:13" ht="26" customHeight="1">
      <c r="A232" s="108" t="s">
        <v>785</v>
      </c>
      <c r="B232" s="108" t="s">
        <v>750</v>
      </c>
      <c r="C232" s="108" t="s">
        <v>48</v>
      </c>
      <c r="D232" s="108" t="s">
        <v>751</v>
      </c>
      <c r="E232" s="109" t="s">
        <v>36</v>
      </c>
      <c r="F232" s="110">
        <v>1</v>
      </c>
      <c r="G232" s="111">
        <v>151.51</v>
      </c>
      <c r="H232" s="111">
        <f t="shared" si="28"/>
        <v>151.5</v>
      </c>
      <c r="I232" s="111">
        <f>TRUNC(TRUNC(G232 * B4, 2) + G232, 2)</f>
        <v>183.23</v>
      </c>
      <c r="J232" s="111">
        <f t="shared" si="29"/>
        <v>183.23</v>
      </c>
      <c r="K232" s="111">
        <f t="shared" si="24"/>
        <v>183.23</v>
      </c>
      <c r="L232" s="111">
        <f t="shared" si="25"/>
        <v>183.23</v>
      </c>
      <c r="M232" s="112">
        <f>L232 / M428</f>
        <v>6.9204300450332538E-5</v>
      </c>
    </row>
    <row r="233" spans="1:13" ht="39" customHeight="1">
      <c r="A233" s="108" t="s">
        <v>786</v>
      </c>
      <c r="B233" s="108" t="s">
        <v>258</v>
      </c>
      <c r="C233" s="108" t="s">
        <v>48</v>
      </c>
      <c r="D233" s="108" t="s">
        <v>259</v>
      </c>
      <c r="E233" s="109" t="s">
        <v>36</v>
      </c>
      <c r="F233" s="110">
        <v>2</v>
      </c>
      <c r="G233" s="111">
        <v>21.64</v>
      </c>
      <c r="H233" s="111">
        <f t="shared" si="28"/>
        <v>21.64</v>
      </c>
      <c r="I233" s="111">
        <f>TRUNC(TRUNC(G233 * B4, 2) + G233, 2)</f>
        <v>26.17</v>
      </c>
      <c r="J233" s="111">
        <f t="shared" si="29"/>
        <v>26.17</v>
      </c>
      <c r="K233" s="111">
        <f t="shared" si="24"/>
        <v>52.34</v>
      </c>
      <c r="L233" s="111">
        <f t="shared" si="25"/>
        <v>52.34</v>
      </c>
      <c r="M233" s="112">
        <f>L233 / M428</f>
        <v>1.9768340804291903E-5</v>
      </c>
    </row>
    <row r="234" spans="1:13" ht="39" customHeight="1">
      <c r="A234" s="108" t="s">
        <v>787</v>
      </c>
      <c r="B234" s="108" t="s">
        <v>254</v>
      </c>
      <c r="C234" s="108" t="s">
        <v>48</v>
      </c>
      <c r="D234" s="108" t="s">
        <v>255</v>
      </c>
      <c r="E234" s="109" t="s">
        <v>36</v>
      </c>
      <c r="F234" s="110">
        <v>2</v>
      </c>
      <c r="G234" s="111">
        <v>24.32</v>
      </c>
      <c r="H234" s="111">
        <f t="shared" si="28"/>
        <v>24.32</v>
      </c>
      <c r="I234" s="111">
        <f>TRUNC(TRUNC(G234 * B4, 2) + G234, 2)</f>
        <v>29.41</v>
      </c>
      <c r="J234" s="111">
        <f t="shared" si="29"/>
        <v>29.41</v>
      </c>
      <c r="K234" s="111">
        <f t="shared" si="24"/>
        <v>58.82</v>
      </c>
      <c r="L234" s="111">
        <f t="shared" si="25"/>
        <v>58.82</v>
      </c>
      <c r="M234" s="112">
        <f>L234 / M428</f>
        <v>2.2215777724655133E-5</v>
      </c>
    </row>
    <row r="235" spans="1:13" ht="39" customHeight="1">
      <c r="A235" s="108" t="s">
        <v>788</v>
      </c>
      <c r="B235" s="108" t="s">
        <v>260</v>
      </c>
      <c r="C235" s="108" t="s">
        <v>48</v>
      </c>
      <c r="D235" s="108" t="s">
        <v>261</v>
      </c>
      <c r="E235" s="109" t="s">
        <v>36</v>
      </c>
      <c r="F235" s="110">
        <v>1</v>
      </c>
      <c r="G235" s="111">
        <v>32.590000000000003</v>
      </c>
      <c r="H235" s="111">
        <f t="shared" si="28"/>
        <v>32.590000000000003</v>
      </c>
      <c r="I235" s="111">
        <f>TRUNC(TRUNC(G235 * B4, 2) + G235, 2)</f>
        <v>39.409999999999997</v>
      </c>
      <c r="J235" s="111">
        <f t="shared" si="29"/>
        <v>39.409999999999997</v>
      </c>
      <c r="K235" s="111">
        <f t="shared" si="24"/>
        <v>39.409999999999997</v>
      </c>
      <c r="L235" s="111">
        <f t="shared" si="25"/>
        <v>39.409999999999997</v>
      </c>
      <c r="M235" s="112">
        <f>L235 / M428</f>
        <v>1.4884797690048603E-5</v>
      </c>
    </row>
    <row r="236" spans="1:13" ht="39" customHeight="1">
      <c r="A236" s="108" t="s">
        <v>789</v>
      </c>
      <c r="B236" s="108" t="s">
        <v>790</v>
      </c>
      <c r="C236" s="108" t="s">
        <v>48</v>
      </c>
      <c r="D236" s="108" t="s">
        <v>791</v>
      </c>
      <c r="E236" s="109" t="s">
        <v>70</v>
      </c>
      <c r="F236" s="110">
        <v>4.3</v>
      </c>
      <c r="G236" s="111">
        <v>118.65</v>
      </c>
      <c r="H236" s="111">
        <f t="shared" si="28"/>
        <v>118.64</v>
      </c>
      <c r="I236" s="111">
        <f>TRUNC(TRUNC(G236 * B4, 2) + G236, 2)</f>
        <v>143.49</v>
      </c>
      <c r="J236" s="111">
        <f t="shared" si="29"/>
        <v>143.48830000000001</v>
      </c>
      <c r="K236" s="111">
        <f t="shared" si="24"/>
        <v>617</v>
      </c>
      <c r="L236" s="111">
        <f t="shared" si="25"/>
        <v>617</v>
      </c>
      <c r="M236" s="112">
        <f>L236 / M428</f>
        <v>2.3303527467038792E-4</v>
      </c>
    </row>
    <row r="237" spans="1:13" ht="24" customHeight="1">
      <c r="A237" s="108" t="s">
        <v>792</v>
      </c>
      <c r="B237" s="108" t="s">
        <v>247</v>
      </c>
      <c r="C237" s="108" t="s">
        <v>48</v>
      </c>
      <c r="D237" s="108" t="s">
        <v>248</v>
      </c>
      <c r="E237" s="109" t="s">
        <v>70</v>
      </c>
      <c r="F237" s="110">
        <v>2.88</v>
      </c>
      <c r="G237" s="111">
        <v>98.65</v>
      </c>
      <c r="H237" s="111">
        <f t="shared" si="28"/>
        <v>98.64</v>
      </c>
      <c r="I237" s="111">
        <f>TRUNC(TRUNC(G237 * B4, 2) + G237, 2)</f>
        <v>119.3</v>
      </c>
      <c r="J237" s="111">
        <f t="shared" si="29"/>
        <v>119.29859999999999</v>
      </c>
      <c r="K237" s="111">
        <f t="shared" si="24"/>
        <v>343.58</v>
      </c>
      <c r="L237" s="111">
        <f t="shared" si="25"/>
        <v>343.58</v>
      </c>
      <c r="M237" s="112">
        <f>L237 / M428</f>
        <v>1.2976703350283934E-4</v>
      </c>
    </row>
    <row r="238" spans="1:13" ht="26" customHeight="1">
      <c r="A238" s="108" t="s">
        <v>793</v>
      </c>
      <c r="B238" s="108" t="s">
        <v>109</v>
      </c>
      <c r="C238" s="108" t="s">
        <v>48</v>
      </c>
      <c r="D238" s="108" t="s">
        <v>110</v>
      </c>
      <c r="E238" s="109" t="s">
        <v>49</v>
      </c>
      <c r="F238" s="110">
        <v>4.3</v>
      </c>
      <c r="G238" s="111">
        <v>7.36</v>
      </c>
      <c r="H238" s="111">
        <f t="shared" si="28"/>
        <v>7.36</v>
      </c>
      <c r="I238" s="111">
        <f>TRUNC(TRUNC(G238 * B4, 2) + G238, 2)</f>
        <v>8.9</v>
      </c>
      <c r="J238" s="111">
        <f t="shared" si="29"/>
        <v>8.9</v>
      </c>
      <c r="K238" s="111">
        <f t="shared" si="24"/>
        <v>38.270000000000003</v>
      </c>
      <c r="L238" s="111">
        <f t="shared" si="25"/>
        <v>38.270000000000003</v>
      </c>
      <c r="M238" s="112">
        <f>L238 / M428</f>
        <v>1.4454230083688407E-5</v>
      </c>
    </row>
    <row r="239" spans="1:13" ht="26" customHeight="1">
      <c r="A239" s="108" t="s">
        <v>794</v>
      </c>
      <c r="B239" s="108" t="s">
        <v>249</v>
      </c>
      <c r="C239" s="108" t="s">
        <v>48</v>
      </c>
      <c r="D239" s="108" t="s">
        <v>250</v>
      </c>
      <c r="E239" s="109" t="s">
        <v>70</v>
      </c>
      <c r="F239" s="110">
        <v>2.74</v>
      </c>
      <c r="G239" s="111">
        <v>28.45</v>
      </c>
      <c r="H239" s="111">
        <f t="shared" si="28"/>
        <v>28.44</v>
      </c>
      <c r="I239" s="111">
        <f>TRUNC(TRUNC(G239 * B4, 2) + G239, 2)</f>
        <v>34.4</v>
      </c>
      <c r="J239" s="111">
        <f t="shared" si="29"/>
        <v>34.397799999999997</v>
      </c>
      <c r="K239" s="111">
        <f t="shared" si="24"/>
        <v>94.25</v>
      </c>
      <c r="L239" s="111">
        <f t="shared" si="25"/>
        <v>94.25</v>
      </c>
      <c r="M239" s="112">
        <f>L239 / M428</f>
        <v>3.5597365701270764E-5</v>
      </c>
    </row>
    <row r="240" spans="1:13" ht="24" customHeight="1">
      <c r="A240" s="103" t="s">
        <v>14</v>
      </c>
      <c r="B240" s="103" t="s">
        <v>30</v>
      </c>
      <c r="C240" s="103"/>
      <c r="D240" s="103" t="s">
        <v>15</v>
      </c>
      <c r="E240" s="104"/>
      <c r="F240" s="105">
        <v>1</v>
      </c>
      <c r="G240" s="105" t="s">
        <v>31</v>
      </c>
      <c r="H240" s="105"/>
      <c r="I240" s="106">
        <f>K241 + K258 + K278 + K286 + K292 + K294 + K299 + K304 + K312 + K322</f>
        <v>209305.46</v>
      </c>
      <c r="J240" s="106">
        <f>L241 + L258 + L278 + L286 + L292 + L294 + L299 + L304 + L312 + L322</f>
        <v>209305.46</v>
      </c>
      <c r="K240" s="106">
        <f t="shared" si="24"/>
        <v>209305.46</v>
      </c>
      <c r="L240" s="106">
        <f t="shared" si="25"/>
        <v>209305.46</v>
      </c>
      <c r="M240" s="107">
        <f>L240 / M428</f>
        <v>7.9052763956421218E-2</v>
      </c>
    </row>
    <row r="241" spans="1:13" ht="26" customHeight="1">
      <c r="A241" s="103" t="s">
        <v>281</v>
      </c>
      <c r="B241" s="103" t="s">
        <v>30</v>
      </c>
      <c r="C241" s="103"/>
      <c r="D241" s="103" t="s">
        <v>283</v>
      </c>
      <c r="E241" s="104"/>
      <c r="F241" s="105">
        <v>1</v>
      </c>
      <c r="G241" s="105" t="s">
        <v>31</v>
      </c>
      <c r="H241" s="105"/>
      <c r="I241" s="106">
        <f>K242 + K243 + K244 + K245 + K246 + K247 + K248 + K249 + K250 + K251 + K252 + K253 + K254 + K255 + K256 + K257</f>
        <v>9900.01</v>
      </c>
      <c r="J241" s="106">
        <f>L242 + L243 + L244 + L245 + L246 + L247 + L248 + L249 + L250 + L251 + L252 + L253 + L254 + L255 + L256 + L257</f>
        <v>9900.01</v>
      </c>
      <c r="K241" s="106">
        <f t="shared" si="24"/>
        <v>9900.01</v>
      </c>
      <c r="L241" s="106">
        <f t="shared" si="25"/>
        <v>9900.01</v>
      </c>
      <c r="M241" s="107">
        <f>L241 / M428</f>
        <v>3.7391435163526537E-3</v>
      </c>
    </row>
    <row r="242" spans="1:13" ht="26" customHeight="1">
      <c r="A242" s="108" t="s">
        <v>282</v>
      </c>
      <c r="B242" s="108" t="s">
        <v>795</v>
      </c>
      <c r="C242" s="108" t="s">
        <v>48</v>
      </c>
      <c r="D242" s="108" t="s">
        <v>796</v>
      </c>
      <c r="E242" s="109" t="s">
        <v>36</v>
      </c>
      <c r="F242" s="110">
        <v>3</v>
      </c>
      <c r="G242" s="111">
        <v>109.92</v>
      </c>
      <c r="H242" s="111">
        <f t="shared" ref="H242:H257" si="30">ROUND(J242/(1+$B$4),2)</f>
        <v>109.91</v>
      </c>
      <c r="I242" s="111">
        <f>TRUNC(TRUNC(G242 * B4, 2) + G242, 2)</f>
        <v>132.93</v>
      </c>
      <c r="J242" s="111">
        <f t="shared" ref="J242:J257" si="31">TRUNC(L242/F242,4)</f>
        <v>132.93</v>
      </c>
      <c r="K242" s="111">
        <f t="shared" si="24"/>
        <v>398.79</v>
      </c>
      <c r="L242" s="111">
        <f t="shared" si="25"/>
        <v>398.79</v>
      </c>
      <c r="M242" s="112">
        <f>L242 / M428</f>
        <v>1.5061934714068721E-4</v>
      </c>
    </row>
    <row r="243" spans="1:13" ht="26" customHeight="1">
      <c r="A243" s="108" t="s">
        <v>296</v>
      </c>
      <c r="B243" s="108" t="s">
        <v>317</v>
      </c>
      <c r="C243" s="108" t="s">
        <v>48</v>
      </c>
      <c r="D243" s="108" t="s">
        <v>318</v>
      </c>
      <c r="E243" s="109" t="s">
        <v>36</v>
      </c>
      <c r="F243" s="110">
        <v>1</v>
      </c>
      <c r="G243" s="111">
        <v>120.89</v>
      </c>
      <c r="H243" s="111">
        <f t="shared" si="30"/>
        <v>120.89</v>
      </c>
      <c r="I243" s="111">
        <f>TRUNC(TRUNC(G243 * B4, 2) + G243, 2)</f>
        <v>146.19999999999999</v>
      </c>
      <c r="J243" s="111">
        <f t="shared" si="31"/>
        <v>146.19999999999999</v>
      </c>
      <c r="K243" s="111">
        <f t="shared" si="24"/>
        <v>146.19999999999999</v>
      </c>
      <c r="L243" s="111">
        <f t="shared" si="25"/>
        <v>146.19999999999999</v>
      </c>
      <c r="M243" s="112">
        <f>L243 / M428</f>
        <v>5.5218407061281545E-5</v>
      </c>
    </row>
    <row r="244" spans="1:13" ht="26" customHeight="1">
      <c r="A244" s="108" t="s">
        <v>300</v>
      </c>
      <c r="B244" s="108" t="s">
        <v>284</v>
      </c>
      <c r="C244" s="108" t="s">
        <v>48</v>
      </c>
      <c r="D244" s="108" t="s">
        <v>285</v>
      </c>
      <c r="E244" s="109" t="s">
        <v>36</v>
      </c>
      <c r="F244" s="110">
        <v>2</v>
      </c>
      <c r="G244" s="111">
        <v>138.32</v>
      </c>
      <c r="H244" s="111">
        <f t="shared" si="30"/>
        <v>138.32</v>
      </c>
      <c r="I244" s="111">
        <f>TRUNC(TRUNC(G244 * B4, 2) + G244, 2)</f>
        <v>167.28</v>
      </c>
      <c r="J244" s="111">
        <f t="shared" si="31"/>
        <v>167.28</v>
      </c>
      <c r="K244" s="111">
        <f t="shared" si="24"/>
        <v>334.56</v>
      </c>
      <c r="L244" s="111">
        <f t="shared" si="25"/>
        <v>334.56</v>
      </c>
      <c r="M244" s="112">
        <f>L244 / M428</f>
        <v>1.2636026174023498E-4</v>
      </c>
    </row>
    <row r="245" spans="1:13" ht="39" customHeight="1">
      <c r="A245" s="108" t="s">
        <v>310</v>
      </c>
      <c r="B245" s="108" t="s">
        <v>797</v>
      </c>
      <c r="C245" s="108" t="s">
        <v>35</v>
      </c>
      <c r="D245" s="108" t="s">
        <v>319</v>
      </c>
      <c r="E245" s="109" t="s">
        <v>36</v>
      </c>
      <c r="F245" s="110">
        <v>1</v>
      </c>
      <c r="G245" s="111">
        <v>160.06</v>
      </c>
      <c r="H245" s="111">
        <f t="shared" si="30"/>
        <v>160.05000000000001</v>
      </c>
      <c r="I245" s="111">
        <f>TRUNC(TRUNC(G245 * B4, 2) + G245, 2)</f>
        <v>193.57</v>
      </c>
      <c r="J245" s="111">
        <f t="shared" si="31"/>
        <v>193.57</v>
      </c>
      <c r="K245" s="111">
        <f t="shared" si="24"/>
        <v>193.57</v>
      </c>
      <c r="L245" s="111">
        <f t="shared" si="25"/>
        <v>193.57</v>
      </c>
      <c r="M245" s="112">
        <f>L245 / M428</f>
        <v>7.3109624178196089E-5</v>
      </c>
    </row>
    <row r="246" spans="1:13" ht="26" customHeight="1">
      <c r="A246" s="108" t="s">
        <v>312</v>
      </c>
      <c r="B246" s="108" t="s">
        <v>286</v>
      </c>
      <c r="C246" s="108" t="s">
        <v>48</v>
      </c>
      <c r="D246" s="108" t="s">
        <v>287</v>
      </c>
      <c r="E246" s="109" t="s">
        <v>36</v>
      </c>
      <c r="F246" s="110">
        <v>3</v>
      </c>
      <c r="G246" s="111">
        <v>17.48</v>
      </c>
      <c r="H246" s="111">
        <f t="shared" si="30"/>
        <v>17.48</v>
      </c>
      <c r="I246" s="111">
        <f>TRUNC(TRUNC(G246 * B4, 2) + G246, 2)</f>
        <v>21.14</v>
      </c>
      <c r="J246" s="111">
        <f t="shared" si="31"/>
        <v>21.14</v>
      </c>
      <c r="K246" s="111">
        <f t="shared" si="24"/>
        <v>63.42</v>
      </c>
      <c r="L246" s="111">
        <f t="shared" si="25"/>
        <v>63.42</v>
      </c>
      <c r="M246" s="112">
        <f>L246 / M428</f>
        <v>2.3953155785406811E-5</v>
      </c>
    </row>
    <row r="247" spans="1:13" ht="26" customHeight="1">
      <c r="A247" s="108" t="s">
        <v>314</v>
      </c>
      <c r="B247" s="108" t="s">
        <v>288</v>
      </c>
      <c r="C247" s="108" t="s">
        <v>48</v>
      </c>
      <c r="D247" s="108" t="s">
        <v>289</v>
      </c>
      <c r="E247" s="109" t="s">
        <v>36</v>
      </c>
      <c r="F247" s="110">
        <v>2</v>
      </c>
      <c r="G247" s="111">
        <v>17.48</v>
      </c>
      <c r="H247" s="111">
        <f t="shared" si="30"/>
        <v>17.48</v>
      </c>
      <c r="I247" s="111">
        <f>TRUNC(TRUNC(G247 * B4, 2) + G247, 2)</f>
        <v>21.14</v>
      </c>
      <c r="J247" s="111">
        <f t="shared" si="31"/>
        <v>21.14</v>
      </c>
      <c r="K247" s="111">
        <f t="shared" si="24"/>
        <v>42.28</v>
      </c>
      <c r="L247" s="111">
        <f t="shared" si="25"/>
        <v>42.28</v>
      </c>
      <c r="M247" s="112">
        <f>L247 / M428</f>
        <v>1.5968770523604543E-5</v>
      </c>
    </row>
    <row r="248" spans="1:13" ht="39" customHeight="1">
      <c r="A248" s="108" t="s">
        <v>798</v>
      </c>
      <c r="B248" s="108" t="s">
        <v>294</v>
      </c>
      <c r="C248" s="108" t="s">
        <v>35</v>
      </c>
      <c r="D248" s="108" t="s">
        <v>295</v>
      </c>
      <c r="E248" s="109" t="s">
        <v>36</v>
      </c>
      <c r="F248" s="110">
        <v>4</v>
      </c>
      <c r="G248" s="111">
        <v>288.89999999999998</v>
      </c>
      <c r="H248" s="111">
        <f t="shared" si="30"/>
        <v>288.89999999999998</v>
      </c>
      <c r="I248" s="111">
        <f>TRUNC(TRUNC(G248 * B4, 2) + G248, 2)</f>
        <v>349.39</v>
      </c>
      <c r="J248" s="111">
        <f t="shared" si="31"/>
        <v>349.39</v>
      </c>
      <c r="K248" s="111">
        <f t="shared" si="24"/>
        <v>1397.56</v>
      </c>
      <c r="L248" s="111">
        <f t="shared" si="25"/>
        <v>1397.56</v>
      </c>
      <c r="M248" s="112">
        <f>L248 / M428</f>
        <v>5.2784567012698113E-4</v>
      </c>
    </row>
    <row r="249" spans="1:13" ht="39" customHeight="1">
      <c r="A249" s="108" t="s">
        <v>799</v>
      </c>
      <c r="B249" s="108" t="s">
        <v>800</v>
      </c>
      <c r="C249" s="108" t="s">
        <v>35</v>
      </c>
      <c r="D249" s="108" t="s">
        <v>801</v>
      </c>
      <c r="E249" s="109" t="s">
        <v>36</v>
      </c>
      <c r="F249" s="110">
        <v>7</v>
      </c>
      <c r="G249" s="111">
        <v>288.89999999999998</v>
      </c>
      <c r="H249" s="111">
        <f t="shared" si="30"/>
        <v>288.89999999999998</v>
      </c>
      <c r="I249" s="111">
        <f>TRUNC(TRUNC(G249 * B4, 2) + G249, 2)</f>
        <v>349.39</v>
      </c>
      <c r="J249" s="111">
        <f t="shared" si="31"/>
        <v>349.39</v>
      </c>
      <c r="K249" s="111">
        <f t="shared" si="24"/>
        <v>2445.73</v>
      </c>
      <c r="L249" s="111">
        <f t="shared" si="25"/>
        <v>2445.73</v>
      </c>
      <c r="M249" s="112">
        <f>L249 / M428</f>
        <v>9.2372992272221697E-4</v>
      </c>
    </row>
    <row r="250" spans="1:13" ht="39" customHeight="1">
      <c r="A250" s="108" t="s">
        <v>802</v>
      </c>
      <c r="B250" s="108" t="s">
        <v>290</v>
      </c>
      <c r="C250" s="108" t="s">
        <v>35</v>
      </c>
      <c r="D250" s="108" t="s">
        <v>291</v>
      </c>
      <c r="E250" s="109" t="s">
        <v>36</v>
      </c>
      <c r="F250" s="110">
        <v>1</v>
      </c>
      <c r="G250" s="111">
        <v>230.65</v>
      </c>
      <c r="H250" s="111">
        <f t="shared" si="30"/>
        <v>230.64</v>
      </c>
      <c r="I250" s="111">
        <f>TRUNC(TRUNC(G250 * B4, 2) + G250, 2)</f>
        <v>278.94</v>
      </c>
      <c r="J250" s="111">
        <f t="shared" si="31"/>
        <v>278.94</v>
      </c>
      <c r="K250" s="111">
        <f t="shared" si="24"/>
        <v>278.94</v>
      </c>
      <c r="L250" s="111">
        <f t="shared" si="25"/>
        <v>278.94</v>
      </c>
      <c r="M250" s="112">
        <f>L250 / M428</f>
        <v>1.0535309484045058E-4</v>
      </c>
    </row>
    <row r="251" spans="1:13" ht="39" customHeight="1">
      <c r="A251" s="108" t="s">
        <v>803</v>
      </c>
      <c r="B251" s="108" t="s">
        <v>804</v>
      </c>
      <c r="C251" s="108" t="s">
        <v>35</v>
      </c>
      <c r="D251" s="108" t="s">
        <v>805</v>
      </c>
      <c r="E251" s="109" t="s">
        <v>36</v>
      </c>
      <c r="F251" s="110">
        <v>1</v>
      </c>
      <c r="G251" s="111">
        <v>717.11</v>
      </c>
      <c r="H251" s="111">
        <f t="shared" si="30"/>
        <v>717.11</v>
      </c>
      <c r="I251" s="111">
        <f>TRUNC(TRUNC(G251 * B4, 2) + G251, 2)</f>
        <v>867.27</v>
      </c>
      <c r="J251" s="111">
        <f t="shared" si="31"/>
        <v>867.27</v>
      </c>
      <c r="K251" s="111">
        <f t="shared" si="24"/>
        <v>867.27</v>
      </c>
      <c r="L251" s="111">
        <f t="shared" si="25"/>
        <v>867.27</v>
      </c>
      <c r="M251" s="112">
        <f>L251 / M428</f>
        <v>3.275599719017623E-4</v>
      </c>
    </row>
    <row r="252" spans="1:13" ht="39" customHeight="1">
      <c r="A252" s="108" t="s">
        <v>806</v>
      </c>
      <c r="B252" s="108" t="s">
        <v>292</v>
      </c>
      <c r="C252" s="108" t="s">
        <v>35</v>
      </c>
      <c r="D252" s="108" t="s">
        <v>293</v>
      </c>
      <c r="E252" s="109" t="s">
        <v>36</v>
      </c>
      <c r="F252" s="110">
        <v>1</v>
      </c>
      <c r="G252" s="111">
        <v>56.82</v>
      </c>
      <c r="H252" s="111">
        <f t="shared" si="30"/>
        <v>56.81</v>
      </c>
      <c r="I252" s="111">
        <f>TRUNC(TRUNC(G252 * B4, 2) + G252, 2)</f>
        <v>68.709999999999994</v>
      </c>
      <c r="J252" s="111">
        <f t="shared" si="31"/>
        <v>68.709999999999994</v>
      </c>
      <c r="K252" s="111">
        <f t="shared" si="24"/>
        <v>68.709999999999994</v>
      </c>
      <c r="L252" s="111">
        <f t="shared" si="25"/>
        <v>68.709999999999994</v>
      </c>
      <c r="M252" s="112">
        <f>L252 / M428</f>
        <v>2.5951140555271238E-5</v>
      </c>
    </row>
    <row r="253" spans="1:13" ht="52" customHeight="1">
      <c r="A253" s="108" t="s">
        <v>807</v>
      </c>
      <c r="B253" s="108" t="s">
        <v>808</v>
      </c>
      <c r="C253" s="108" t="s">
        <v>35</v>
      </c>
      <c r="D253" s="108" t="s">
        <v>809</v>
      </c>
      <c r="E253" s="109" t="s">
        <v>36</v>
      </c>
      <c r="F253" s="110">
        <v>2</v>
      </c>
      <c r="G253" s="111">
        <v>476.12</v>
      </c>
      <c r="H253" s="111">
        <f t="shared" si="30"/>
        <v>476.11</v>
      </c>
      <c r="I253" s="111">
        <f>TRUNC(TRUNC(G253 * B4, 2) + G253, 2)</f>
        <v>575.80999999999995</v>
      </c>
      <c r="J253" s="111">
        <f t="shared" si="31"/>
        <v>575.80999999999995</v>
      </c>
      <c r="K253" s="111">
        <f t="shared" si="24"/>
        <v>1151.6199999999999</v>
      </c>
      <c r="L253" s="111">
        <f t="shared" si="25"/>
        <v>1151.6199999999999</v>
      </c>
      <c r="M253" s="112">
        <f>L253 / M428</f>
        <v>4.349563744180099E-4</v>
      </c>
    </row>
    <row r="254" spans="1:13" ht="26" customHeight="1">
      <c r="A254" s="108" t="s">
        <v>810</v>
      </c>
      <c r="B254" s="108" t="s">
        <v>811</v>
      </c>
      <c r="C254" s="108" t="s">
        <v>35</v>
      </c>
      <c r="D254" s="108" t="s">
        <v>812</v>
      </c>
      <c r="E254" s="109" t="s">
        <v>240</v>
      </c>
      <c r="F254" s="110">
        <v>1</v>
      </c>
      <c r="G254" s="111">
        <v>634.84</v>
      </c>
      <c r="H254" s="111">
        <f t="shared" si="30"/>
        <v>634.84</v>
      </c>
      <c r="I254" s="111">
        <f>TRUNC(TRUNC(G254 * B4, 2) + G254, 2)</f>
        <v>767.77</v>
      </c>
      <c r="J254" s="111">
        <f t="shared" si="31"/>
        <v>767.77</v>
      </c>
      <c r="K254" s="111">
        <f t="shared" si="24"/>
        <v>767.77</v>
      </c>
      <c r="L254" s="111">
        <f t="shared" si="25"/>
        <v>767.77</v>
      </c>
      <c r="M254" s="112">
        <f>L254 / M428</f>
        <v>2.8997972906593799E-4</v>
      </c>
    </row>
    <row r="255" spans="1:13" ht="26" customHeight="1">
      <c r="A255" s="108" t="s">
        <v>813</v>
      </c>
      <c r="B255" s="108" t="s">
        <v>814</v>
      </c>
      <c r="C255" s="108" t="s">
        <v>35</v>
      </c>
      <c r="D255" s="108" t="s">
        <v>815</v>
      </c>
      <c r="E255" s="109" t="s">
        <v>240</v>
      </c>
      <c r="F255" s="110">
        <v>3</v>
      </c>
      <c r="G255" s="111">
        <v>250.59</v>
      </c>
      <c r="H255" s="111">
        <f t="shared" si="30"/>
        <v>250.59</v>
      </c>
      <c r="I255" s="111">
        <f>TRUNC(TRUNC(G255 * B4, 2) + G255, 2)</f>
        <v>303.06</v>
      </c>
      <c r="J255" s="111">
        <f t="shared" si="31"/>
        <v>303.06</v>
      </c>
      <c r="K255" s="111">
        <f t="shared" si="24"/>
        <v>909.18</v>
      </c>
      <c r="L255" s="111">
        <f t="shared" si="25"/>
        <v>909.18</v>
      </c>
      <c r="M255" s="112">
        <f>L255 / M428</f>
        <v>3.4338899679874112E-4</v>
      </c>
    </row>
    <row r="256" spans="1:13" ht="26" customHeight="1">
      <c r="A256" s="108" t="s">
        <v>816</v>
      </c>
      <c r="B256" s="108" t="s">
        <v>817</v>
      </c>
      <c r="C256" s="108" t="s">
        <v>35</v>
      </c>
      <c r="D256" s="108" t="s">
        <v>818</v>
      </c>
      <c r="E256" s="109" t="s">
        <v>36</v>
      </c>
      <c r="F256" s="110">
        <v>1</v>
      </c>
      <c r="G256" s="111">
        <v>457.99</v>
      </c>
      <c r="H256" s="111">
        <f t="shared" si="30"/>
        <v>457.99</v>
      </c>
      <c r="I256" s="111">
        <f>TRUNC(TRUNC(G256 * B4, 2) + G256, 2)</f>
        <v>553.89</v>
      </c>
      <c r="J256" s="111">
        <f t="shared" si="31"/>
        <v>553.89</v>
      </c>
      <c r="K256" s="111">
        <f t="shared" si="24"/>
        <v>553.89</v>
      </c>
      <c r="L256" s="111">
        <f t="shared" si="25"/>
        <v>553.89</v>
      </c>
      <c r="M256" s="112">
        <f>L256 / M428</f>
        <v>2.0919920305864046E-4</v>
      </c>
    </row>
    <row r="257" spans="1:13" ht="26" customHeight="1">
      <c r="A257" s="108" t="s">
        <v>819</v>
      </c>
      <c r="B257" s="108" t="s">
        <v>820</v>
      </c>
      <c r="C257" s="108" t="s">
        <v>48</v>
      </c>
      <c r="D257" s="108" t="s">
        <v>821</v>
      </c>
      <c r="E257" s="109" t="s">
        <v>36</v>
      </c>
      <c r="F257" s="110">
        <v>2</v>
      </c>
      <c r="G257" s="111">
        <v>115.98</v>
      </c>
      <c r="H257" s="111">
        <f t="shared" si="30"/>
        <v>115.97</v>
      </c>
      <c r="I257" s="111">
        <f>TRUNC(TRUNC(G257 * B4, 2) + G257, 2)</f>
        <v>140.26</v>
      </c>
      <c r="J257" s="111">
        <f t="shared" si="31"/>
        <v>140.26</v>
      </c>
      <c r="K257" s="111">
        <f t="shared" si="24"/>
        <v>280.52</v>
      </c>
      <c r="L257" s="111">
        <f t="shared" si="25"/>
        <v>280.52</v>
      </c>
      <c r="M257" s="112">
        <f>L257 / M428</f>
        <v>1.059498464352305E-4</v>
      </c>
    </row>
    <row r="258" spans="1:13" ht="24" customHeight="1">
      <c r="A258" s="103" t="s">
        <v>315</v>
      </c>
      <c r="B258" s="103" t="s">
        <v>30</v>
      </c>
      <c r="C258" s="103"/>
      <c r="D258" s="103" t="s">
        <v>297</v>
      </c>
      <c r="E258" s="104"/>
      <c r="F258" s="105">
        <v>1</v>
      </c>
      <c r="G258" s="105" t="s">
        <v>31</v>
      </c>
      <c r="H258" s="105"/>
      <c r="I258" s="106">
        <f>K259 + K260 + K261 + K262 + K263 + K264 + K265 + K266 + K267 + K268 + K269 + K270 + K271 + K272 + K273 + K274 + K275 + K276 + K277</f>
        <v>20430.580000000002</v>
      </c>
      <c r="J258" s="106">
        <f>L259 + L260 + L261 + L262 + L263 + L264 + L265 + L266 + L267 + L268 + L269 + L270 + L271 + L272 + L273 + L274 + L275 + L276 + L277</f>
        <v>20430.580000000002</v>
      </c>
      <c r="K258" s="106">
        <f t="shared" si="24"/>
        <v>20430.580000000002</v>
      </c>
      <c r="L258" s="106">
        <f t="shared" si="25"/>
        <v>20430.580000000002</v>
      </c>
      <c r="M258" s="107">
        <f>L258 / M428</f>
        <v>7.7164437957460853E-3</v>
      </c>
    </row>
    <row r="259" spans="1:13" ht="52" customHeight="1">
      <c r="A259" s="108" t="s">
        <v>316</v>
      </c>
      <c r="B259" s="108" t="s">
        <v>822</v>
      </c>
      <c r="C259" s="108" t="s">
        <v>35</v>
      </c>
      <c r="D259" s="108" t="s">
        <v>823</v>
      </c>
      <c r="E259" s="109" t="s">
        <v>63</v>
      </c>
      <c r="F259" s="110">
        <v>93.1</v>
      </c>
      <c r="G259" s="111">
        <v>8.44</v>
      </c>
      <c r="H259" s="111">
        <f t="shared" ref="H259:H277" si="32">ROUND(J259/(1+$B$4),2)</f>
        <v>8.43</v>
      </c>
      <c r="I259" s="111">
        <f>TRUNC(TRUNC(G259 * B4, 2) + G259, 2)</f>
        <v>10.199999999999999</v>
      </c>
      <c r="J259" s="111">
        <f t="shared" ref="J259:J277" si="33">TRUNC(L259/F259,4)</f>
        <v>10.199999999999999</v>
      </c>
      <c r="K259" s="111">
        <f t="shared" si="24"/>
        <v>949.62</v>
      </c>
      <c r="L259" s="111">
        <f t="shared" si="25"/>
        <v>949.62</v>
      </c>
      <c r="M259" s="112">
        <f>L259 / M428</f>
        <v>3.5866281609804503E-4</v>
      </c>
    </row>
    <row r="260" spans="1:13" ht="39" customHeight="1">
      <c r="A260" s="108" t="s">
        <v>320</v>
      </c>
      <c r="B260" s="108" t="s">
        <v>324</v>
      </c>
      <c r="C260" s="108" t="s">
        <v>48</v>
      </c>
      <c r="D260" s="108" t="s">
        <v>325</v>
      </c>
      <c r="E260" s="109" t="s">
        <v>63</v>
      </c>
      <c r="F260" s="110">
        <v>57.4</v>
      </c>
      <c r="G260" s="111">
        <v>9.1</v>
      </c>
      <c r="H260" s="111">
        <f t="shared" si="32"/>
        <v>9.1</v>
      </c>
      <c r="I260" s="111">
        <f>TRUNC(TRUNC(G260 * B4, 2) + G260, 2)</f>
        <v>11</v>
      </c>
      <c r="J260" s="111">
        <f t="shared" si="33"/>
        <v>11</v>
      </c>
      <c r="K260" s="111">
        <f t="shared" si="24"/>
        <v>631.4</v>
      </c>
      <c r="L260" s="111">
        <f t="shared" si="25"/>
        <v>631.4</v>
      </c>
      <c r="M260" s="112">
        <f>L260 / M428</f>
        <v>2.384740233823062E-4</v>
      </c>
    </row>
    <row r="261" spans="1:13" ht="39" customHeight="1">
      <c r="A261" s="108" t="s">
        <v>326</v>
      </c>
      <c r="B261" s="108" t="s">
        <v>298</v>
      </c>
      <c r="C261" s="108" t="s">
        <v>48</v>
      </c>
      <c r="D261" s="108" t="s">
        <v>299</v>
      </c>
      <c r="E261" s="109" t="s">
        <v>63</v>
      </c>
      <c r="F261" s="110">
        <v>66</v>
      </c>
      <c r="G261" s="111">
        <v>12.95</v>
      </c>
      <c r="H261" s="111">
        <f t="shared" si="32"/>
        <v>12.95</v>
      </c>
      <c r="I261" s="111">
        <f>TRUNC(TRUNC(G261 * B4, 2) + G261, 2)</f>
        <v>15.66</v>
      </c>
      <c r="J261" s="111">
        <f t="shared" si="33"/>
        <v>15.66</v>
      </c>
      <c r="K261" s="111">
        <f t="shared" si="24"/>
        <v>1033.56</v>
      </c>
      <c r="L261" s="111">
        <f t="shared" si="25"/>
        <v>1033.56</v>
      </c>
      <c r="M261" s="112">
        <f>L261 / M428</f>
        <v>3.9036618879793541E-4</v>
      </c>
    </row>
    <row r="262" spans="1:13" ht="39" customHeight="1">
      <c r="A262" s="108" t="s">
        <v>329</v>
      </c>
      <c r="B262" s="108" t="s">
        <v>824</v>
      </c>
      <c r="C262" s="108" t="s">
        <v>48</v>
      </c>
      <c r="D262" s="108" t="s">
        <v>825</v>
      </c>
      <c r="E262" s="109" t="s">
        <v>36</v>
      </c>
      <c r="F262" s="110">
        <v>10</v>
      </c>
      <c r="G262" s="111">
        <v>191.71</v>
      </c>
      <c r="H262" s="111">
        <f t="shared" si="32"/>
        <v>191.71</v>
      </c>
      <c r="I262" s="111">
        <f>TRUNC(TRUNC(G262 * B4, 2) + G262, 2)</f>
        <v>231.85</v>
      </c>
      <c r="J262" s="111">
        <f t="shared" si="33"/>
        <v>231.85</v>
      </c>
      <c r="K262" s="111">
        <f t="shared" si="24"/>
        <v>2318.5</v>
      </c>
      <c r="L262" s="111">
        <f t="shared" si="25"/>
        <v>2318.5</v>
      </c>
      <c r="M262" s="112">
        <f>L262 / M428</f>
        <v>8.7567631170712228E-4</v>
      </c>
    </row>
    <row r="263" spans="1:13" ht="26" customHeight="1">
      <c r="A263" s="108" t="s">
        <v>330</v>
      </c>
      <c r="B263" s="108" t="s">
        <v>826</v>
      </c>
      <c r="C263" s="108" t="s">
        <v>389</v>
      </c>
      <c r="D263" s="108" t="s">
        <v>827</v>
      </c>
      <c r="E263" s="109" t="s">
        <v>63</v>
      </c>
      <c r="F263" s="110">
        <v>178.4</v>
      </c>
      <c r="G263" s="111">
        <v>31.44</v>
      </c>
      <c r="H263" s="111">
        <f t="shared" si="32"/>
        <v>31.44</v>
      </c>
      <c r="I263" s="111">
        <f>TRUNC(TRUNC(G263 * B4, 2) + G263, 2)</f>
        <v>38.020000000000003</v>
      </c>
      <c r="J263" s="111">
        <f t="shared" si="33"/>
        <v>38.0199</v>
      </c>
      <c r="K263" s="111">
        <f t="shared" si="24"/>
        <v>6782.76</v>
      </c>
      <c r="L263" s="111">
        <f t="shared" si="25"/>
        <v>6782.76</v>
      </c>
      <c r="M263" s="112">
        <f>L263 / M428</f>
        <v>2.5617866120313136E-3</v>
      </c>
    </row>
    <row r="264" spans="1:13" ht="26" customHeight="1">
      <c r="A264" s="108" t="s">
        <v>828</v>
      </c>
      <c r="B264" s="108" t="s">
        <v>829</v>
      </c>
      <c r="C264" s="108" t="s">
        <v>389</v>
      </c>
      <c r="D264" s="108" t="s">
        <v>830</v>
      </c>
      <c r="E264" s="109" t="s">
        <v>63</v>
      </c>
      <c r="F264" s="110">
        <v>13.6</v>
      </c>
      <c r="G264" s="111">
        <v>38.29</v>
      </c>
      <c r="H264" s="111">
        <f t="shared" si="32"/>
        <v>38.28</v>
      </c>
      <c r="I264" s="111">
        <f>TRUNC(TRUNC(G264 * B4, 2) + G264, 2)</f>
        <v>46.3</v>
      </c>
      <c r="J264" s="111">
        <f t="shared" si="33"/>
        <v>46.3</v>
      </c>
      <c r="K264" s="111">
        <f t="shared" si="24"/>
        <v>629.67999999999995</v>
      </c>
      <c r="L264" s="111">
        <f t="shared" si="25"/>
        <v>629.67999999999995</v>
      </c>
      <c r="M264" s="112">
        <f>L264 / M428</f>
        <v>2.3782439506393819E-4</v>
      </c>
    </row>
    <row r="265" spans="1:13" ht="52" customHeight="1">
      <c r="A265" s="108" t="s">
        <v>831</v>
      </c>
      <c r="B265" s="108" t="s">
        <v>832</v>
      </c>
      <c r="C265" s="108" t="s">
        <v>48</v>
      </c>
      <c r="D265" s="108" t="s">
        <v>833</v>
      </c>
      <c r="E265" s="109" t="s">
        <v>63</v>
      </c>
      <c r="F265" s="110">
        <v>192</v>
      </c>
      <c r="G265" s="111">
        <v>13.1</v>
      </c>
      <c r="H265" s="111">
        <f t="shared" si="32"/>
        <v>13.1</v>
      </c>
      <c r="I265" s="111">
        <f>TRUNC(TRUNC(G265 * B4, 2) + G265, 2)</f>
        <v>15.84</v>
      </c>
      <c r="J265" s="111">
        <f t="shared" si="33"/>
        <v>15.84</v>
      </c>
      <c r="K265" s="111">
        <f t="shared" ref="K265:K328" si="34">TRUNC(F265 * I265,2)</f>
        <v>3041.28</v>
      </c>
      <c r="L265" s="111">
        <f t="shared" si="25"/>
        <v>3041.28</v>
      </c>
      <c r="M265" s="112">
        <f>L265 / M428</f>
        <v>1.1486637279571434E-3</v>
      </c>
    </row>
    <row r="266" spans="1:13" ht="39" customHeight="1">
      <c r="A266" s="108" t="s">
        <v>834</v>
      </c>
      <c r="B266" s="108" t="s">
        <v>835</v>
      </c>
      <c r="C266" s="108" t="s">
        <v>48</v>
      </c>
      <c r="D266" s="108" t="s">
        <v>836</v>
      </c>
      <c r="E266" s="109" t="s">
        <v>36</v>
      </c>
      <c r="F266" s="110">
        <v>7</v>
      </c>
      <c r="G266" s="111">
        <v>35.700000000000003</v>
      </c>
      <c r="H266" s="111">
        <f t="shared" si="32"/>
        <v>35.700000000000003</v>
      </c>
      <c r="I266" s="111">
        <f>TRUNC(TRUNC(G266 * B4, 2) + G266, 2)</f>
        <v>43.17</v>
      </c>
      <c r="J266" s="111">
        <f t="shared" si="33"/>
        <v>43.17</v>
      </c>
      <c r="K266" s="111">
        <f t="shared" si="34"/>
        <v>302.19</v>
      </c>
      <c r="L266" s="111">
        <f t="shared" ref="L266:L329" si="35">ROUND((1-$B$6) * K266,2)</f>
        <v>302.19</v>
      </c>
      <c r="M266" s="112">
        <f>L266 / M428</f>
        <v>1.14134407864902E-4</v>
      </c>
    </row>
    <row r="267" spans="1:13" ht="39" customHeight="1">
      <c r="A267" s="108" t="s">
        <v>837</v>
      </c>
      <c r="B267" s="108" t="s">
        <v>838</v>
      </c>
      <c r="C267" s="108" t="s">
        <v>48</v>
      </c>
      <c r="D267" s="108" t="s">
        <v>839</v>
      </c>
      <c r="E267" s="109" t="s">
        <v>36</v>
      </c>
      <c r="F267" s="110">
        <v>10</v>
      </c>
      <c r="G267" s="111">
        <v>33.07</v>
      </c>
      <c r="H267" s="111">
        <f t="shared" si="32"/>
        <v>33.07</v>
      </c>
      <c r="I267" s="111">
        <f>TRUNC(TRUNC(G267 * B4, 2) + G267, 2)</f>
        <v>39.99</v>
      </c>
      <c r="J267" s="111">
        <f t="shared" si="33"/>
        <v>39.99</v>
      </c>
      <c r="K267" s="111">
        <f t="shared" si="34"/>
        <v>399.9</v>
      </c>
      <c r="L267" s="111">
        <f t="shared" si="35"/>
        <v>399.9</v>
      </c>
      <c r="M267" s="112">
        <f>L267 / M428</f>
        <v>1.5103858402056424E-4</v>
      </c>
    </row>
    <row r="268" spans="1:13" ht="39" customHeight="1">
      <c r="A268" s="108" t="s">
        <v>840</v>
      </c>
      <c r="B268" s="108" t="s">
        <v>349</v>
      </c>
      <c r="C268" s="108" t="s">
        <v>48</v>
      </c>
      <c r="D268" s="108" t="s">
        <v>350</v>
      </c>
      <c r="E268" s="109" t="s">
        <v>36</v>
      </c>
      <c r="F268" s="110">
        <v>7</v>
      </c>
      <c r="G268" s="111">
        <v>33.840000000000003</v>
      </c>
      <c r="H268" s="111">
        <f t="shared" si="32"/>
        <v>33.83</v>
      </c>
      <c r="I268" s="111">
        <f>TRUNC(TRUNC(G268 * B4, 2) + G268, 2)</f>
        <v>40.92</v>
      </c>
      <c r="J268" s="111">
        <f t="shared" si="33"/>
        <v>40.92</v>
      </c>
      <c r="K268" s="111">
        <f t="shared" si="34"/>
        <v>286.44</v>
      </c>
      <c r="L268" s="111">
        <f t="shared" si="35"/>
        <v>286.44</v>
      </c>
      <c r="M268" s="112">
        <f>L268 / M428</f>
        <v>1.0818577646124135E-4</v>
      </c>
    </row>
    <row r="269" spans="1:13" ht="39" customHeight="1">
      <c r="A269" s="108" t="s">
        <v>841</v>
      </c>
      <c r="B269" s="108" t="s">
        <v>842</v>
      </c>
      <c r="C269" s="108" t="s">
        <v>48</v>
      </c>
      <c r="D269" s="108" t="s">
        <v>843</v>
      </c>
      <c r="E269" s="109" t="s">
        <v>36</v>
      </c>
      <c r="F269" s="110">
        <v>2</v>
      </c>
      <c r="G269" s="111">
        <v>30.05</v>
      </c>
      <c r="H269" s="111">
        <f t="shared" si="32"/>
        <v>30.05</v>
      </c>
      <c r="I269" s="111">
        <f>TRUNC(TRUNC(G269 * B4, 2) + G269, 2)</f>
        <v>36.340000000000003</v>
      </c>
      <c r="J269" s="111">
        <f t="shared" si="33"/>
        <v>36.340000000000003</v>
      </c>
      <c r="K269" s="111">
        <f t="shared" si="34"/>
        <v>72.680000000000007</v>
      </c>
      <c r="L269" s="111">
        <f t="shared" si="35"/>
        <v>72.680000000000007</v>
      </c>
      <c r="M269" s="112">
        <f>L269 / M428</f>
        <v>2.7450573359876493E-5</v>
      </c>
    </row>
    <row r="270" spans="1:13" ht="39" customHeight="1">
      <c r="A270" s="108" t="s">
        <v>844</v>
      </c>
      <c r="B270" s="108" t="s">
        <v>845</v>
      </c>
      <c r="C270" s="108" t="s">
        <v>48</v>
      </c>
      <c r="D270" s="108" t="s">
        <v>846</v>
      </c>
      <c r="E270" s="109" t="s">
        <v>36</v>
      </c>
      <c r="F270" s="110">
        <v>2</v>
      </c>
      <c r="G270" s="111">
        <v>34.200000000000003</v>
      </c>
      <c r="H270" s="111">
        <f t="shared" si="32"/>
        <v>34.200000000000003</v>
      </c>
      <c r="I270" s="111">
        <f>TRUNC(TRUNC(G270 * B4, 2) + G270, 2)</f>
        <v>41.36</v>
      </c>
      <c r="J270" s="111">
        <f t="shared" si="33"/>
        <v>41.36</v>
      </c>
      <c r="K270" s="111">
        <f t="shared" si="34"/>
        <v>82.72</v>
      </c>
      <c r="L270" s="111">
        <f t="shared" si="35"/>
        <v>82.72</v>
      </c>
      <c r="M270" s="112">
        <f>L270 / M428</f>
        <v>3.1242589822908413E-5</v>
      </c>
    </row>
    <row r="271" spans="1:13" ht="39" customHeight="1">
      <c r="A271" s="108" t="s">
        <v>847</v>
      </c>
      <c r="B271" s="108" t="s">
        <v>848</v>
      </c>
      <c r="C271" s="108" t="s">
        <v>48</v>
      </c>
      <c r="D271" s="108" t="s">
        <v>849</v>
      </c>
      <c r="E271" s="109" t="s">
        <v>36</v>
      </c>
      <c r="F271" s="110">
        <v>5</v>
      </c>
      <c r="G271" s="111">
        <v>19.350000000000001</v>
      </c>
      <c r="H271" s="111">
        <f t="shared" si="32"/>
        <v>19.350000000000001</v>
      </c>
      <c r="I271" s="111">
        <f>TRUNC(TRUNC(G271 * B4, 2) + G271, 2)</f>
        <v>23.4</v>
      </c>
      <c r="J271" s="111">
        <f t="shared" si="33"/>
        <v>23.4</v>
      </c>
      <c r="K271" s="111">
        <f t="shared" si="34"/>
        <v>117</v>
      </c>
      <c r="L271" s="111">
        <f t="shared" si="35"/>
        <v>117</v>
      </c>
      <c r="M271" s="112">
        <f>L271 / M428</f>
        <v>4.4189833284336125E-5</v>
      </c>
    </row>
    <row r="272" spans="1:13" ht="39" customHeight="1">
      <c r="A272" s="108" t="s">
        <v>850</v>
      </c>
      <c r="B272" s="108" t="s">
        <v>851</v>
      </c>
      <c r="C272" s="108" t="s">
        <v>35</v>
      </c>
      <c r="D272" s="108" t="s">
        <v>852</v>
      </c>
      <c r="E272" s="109" t="s">
        <v>36</v>
      </c>
      <c r="F272" s="110">
        <v>36</v>
      </c>
      <c r="G272" s="111">
        <v>18.04</v>
      </c>
      <c r="H272" s="111">
        <f t="shared" si="32"/>
        <v>18.03</v>
      </c>
      <c r="I272" s="111">
        <f>TRUNC(TRUNC(G272 * B4, 2) + G272, 2)</f>
        <v>21.81</v>
      </c>
      <c r="J272" s="111">
        <f t="shared" si="33"/>
        <v>21.81</v>
      </c>
      <c r="K272" s="111">
        <f t="shared" si="34"/>
        <v>785.16</v>
      </c>
      <c r="L272" s="111">
        <f t="shared" si="35"/>
        <v>785.16</v>
      </c>
      <c r="M272" s="112">
        <f>L272 / M428</f>
        <v>2.9654777351734488E-4</v>
      </c>
    </row>
    <row r="273" spans="1:13" ht="52" customHeight="1">
      <c r="A273" s="108" t="s">
        <v>853</v>
      </c>
      <c r="B273" s="108" t="s">
        <v>854</v>
      </c>
      <c r="C273" s="108" t="s">
        <v>35</v>
      </c>
      <c r="D273" s="108" t="s">
        <v>855</v>
      </c>
      <c r="E273" s="109" t="s">
        <v>36</v>
      </c>
      <c r="F273" s="110">
        <v>17</v>
      </c>
      <c r="G273" s="111">
        <v>13.24</v>
      </c>
      <c r="H273" s="111">
        <f t="shared" si="32"/>
        <v>13.24</v>
      </c>
      <c r="I273" s="111">
        <f>TRUNC(TRUNC(G273 * B4, 2) + G273, 2)</f>
        <v>16.010000000000002</v>
      </c>
      <c r="J273" s="111">
        <f t="shared" si="33"/>
        <v>16.010000000000002</v>
      </c>
      <c r="K273" s="111">
        <f t="shared" si="34"/>
        <v>272.17</v>
      </c>
      <c r="L273" s="111">
        <f t="shared" si="35"/>
        <v>272.17</v>
      </c>
      <c r="M273" s="112">
        <f>L273 / M428</f>
        <v>1.0279612756408345E-4</v>
      </c>
    </row>
    <row r="274" spans="1:13" ht="52" customHeight="1">
      <c r="A274" s="108" t="s">
        <v>856</v>
      </c>
      <c r="B274" s="108" t="s">
        <v>857</v>
      </c>
      <c r="C274" s="108" t="s">
        <v>35</v>
      </c>
      <c r="D274" s="108" t="s">
        <v>858</v>
      </c>
      <c r="E274" s="109" t="s">
        <v>36</v>
      </c>
      <c r="F274" s="110">
        <v>2</v>
      </c>
      <c r="G274" s="111">
        <v>14.8</v>
      </c>
      <c r="H274" s="111">
        <f t="shared" si="32"/>
        <v>14.79</v>
      </c>
      <c r="I274" s="111">
        <f>TRUNC(TRUNC(G274 * B4, 2) + G274, 2)</f>
        <v>17.89</v>
      </c>
      <c r="J274" s="111">
        <f t="shared" si="33"/>
        <v>17.89</v>
      </c>
      <c r="K274" s="111">
        <f t="shared" si="34"/>
        <v>35.78</v>
      </c>
      <c r="L274" s="111">
        <f t="shared" si="35"/>
        <v>35.78</v>
      </c>
      <c r="M274" s="112">
        <f>L274 / M428</f>
        <v>1.3513779785585867E-5</v>
      </c>
    </row>
    <row r="275" spans="1:13" ht="26" customHeight="1">
      <c r="A275" s="108" t="s">
        <v>859</v>
      </c>
      <c r="B275" s="108" t="s">
        <v>860</v>
      </c>
      <c r="C275" s="108" t="s">
        <v>35</v>
      </c>
      <c r="D275" s="108" t="s">
        <v>861</v>
      </c>
      <c r="E275" s="109" t="s">
        <v>36</v>
      </c>
      <c r="F275" s="110">
        <v>1</v>
      </c>
      <c r="G275" s="111">
        <v>72.37</v>
      </c>
      <c r="H275" s="111">
        <f t="shared" si="32"/>
        <v>72.37</v>
      </c>
      <c r="I275" s="111">
        <f>TRUNC(TRUNC(G275 * B4, 2) + G275, 2)</f>
        <v>87.52</v>
      </c>
      <c r="J275" s="111">
        <f t="shared" si="33"/>
        <v>87.52</v>
      </c>
      <c r="K275" s="111">
        <f t="shared" si="34"/>
        <v>87.52</v>
      </c>
      <c r="L275" s="111">
        <f t="shared" si="35"/>
        <v>87.52</v>
      </c>
      <c r="M275" s="112">
        <f>L275 / M428</f>
        <v>3.3055506060214507E-5</v>
      </c>
    </row>
    <row r="276" spans="1:13" ht="26" customHeight="1">
      <c r="A276" s="108" t="s">
        <v>862</v>
      </c>
      <c r="B276" s="108" t="s">
        <v>247</v>
      </c>
      <c r="C276" s="108" t="s">
        <v>48</v>
      </c>
      <c r="D276" s="108" t="s">
        <v>597</v>
      </c>
      <c r="E276" s="109" t="s">
        <v>70</v>
      </c>
      <c r="F276" s="110">
        <v>17.32</v>
      </c>
      <c r="G276" s="111">
        <v>98.65</v>
      </c>
      <c r="H276" s="111">
        <f t="shared" si="32"/>
        <v>98.64</v>
      </c>
      <c r="I276" s="111">
        <f>TRUNC(TRUNC(G276 * B4, 2) + G276, 2)</f>
        <v>119.3</v>
      </c>
      <c r="J276" s="111">
        <f t="shared" si="33"/>
        <v>119.2996</v>
      </c>
      <c r="K276" s="111">
        <f t="shared" si="34"/>
        <v>2066.27</v>
      </c>
      <c r="L276" s="111">
        <f t="shared" si="35"/>
        <v>2066.27</v>
      </c>
      <c r="M276" s="112">
        <f>L276 / M428</f>
        <v>7.8041134034551453E-4</v>
      </c>
    </row>
    <row r="277" spans="1:13" ht="26" customHeight="1">
      <c r="A277" s="108" t="s">
        <v>863</v>
      </c>
      <c r="B277" s="108" t="s">
        <v>249</v>
      </c>
      <c r="C277" s="108" t="s">
        <v>48</v>
      </c>
      <c r="D277" s="108" t="s">
        <v>250</v>
      </c>
      <c r="E277" s="109" t="s">
        <v>70</v>
      </c>
      <c r="F277" s="110">
        <v>15.58</v>
      </c>
      <c r="G277" s="111">
        <v>28.45</v>
      </c>
      <c r="H277" s="111">
        <f t="shared" si="32"/>
        <v>28.44</v>
      </c>
      <c r="I277" s="111">
        <f>TRUNC(TRUNC(G277 * B4, 2) + G277, 2)</f>
        <v>34.4</v>
      </c>
      <c r="J277" s="111">
        <f t="shared" si="33"/>
        <v>34.399799999999999</v>
      </c>
      <c r="K277" s="111">
        <f t="shared" si="34"/>
        <v>535.95000000000005</v>
      </c>
      <c r="L277" s="111">
        <f t="shared" si="35"/>
        <v>535.95000000000005</v>
      </c>
      <c r="M277" s="112">
        <f>L277 / M428</f>
        <v>2.0242342862170895E-4</v>
      </c>
    </row>
    <row r="278" spans="1:13" ht="24" customHeight="1">
      <c r="A278" s="103" t="s">
        <v>336</v>
      </c>
      <c r="B278" s="103" t="s">
        <v>30</v>
      </c>
      <c r="C278" s="103"/>
      <c r="D278" s="103" t="s">
        <v>301</v>
      </c>
      <c r="E278" s="104"/>
      <c r="F278" s="105">
        <v>1</v>
      </c>
      <c r="G278" s="105" t="s">
        <v>31</v>
      </c>
      <c r="H278" s="105"/>
      <c r="I278" s="106">
        <f>K279 + K280 + K281 + K282 + K283 + K284 + K285</f>
        <v>53526.47</v>
      </c>
      <c r="J278" s="106">
        <f>L279 + L280 + L281 + L282 + L283 + L284 + L285</f>
        <v>53526.47</v>
      </c>
      <c r="K278" s="106">
        <f t="shared" si="34"/>
        <v>53526.47</v>
      </c>
      <c r="L278" s="106">
        <f t="shared" si="35"/>
        <v>53526.47</v>
      </c>
      <c r="M278" s="107">
        <f>L278 / M428</f>
        <v>2.0216459705974521E-2</v>
      </c>
    </row>
    <row r="279" spans="1:13" ht="39" customHeight="1">
      <c r="A279" s="108" t="s">
        <v>338</v>
      </c>
      <c r="B279" s="108" t="s">
        <v>864</v>
      </c>
      <c r="C279" s="108" t="s">
        <v>48</v>
      </c>
      <c r="D279" s="108" t="s">
        <v>865</v>
      </c>
      <c r="E279" s="109" t="s">
        <v>63</v>
      </c>
      <c r="F279" s="110">
        <v>586.1</v>
      </c>
      <c r="G279" s="111">
        <v>31.85</v>
      </c>
      <c r="H279" s="111">
        <f t="shared" ref="H279:H285" si="36">ROUND(J279/(1+$B$4),2)</f>
        <v>31.84</v>
      </c>
      <c r="I279" s="111">
        <f>TRUNC(TRUNC(G279 * B4, 2) + G279, 2)</f>
        <v>38.51</v>
      </c>
      <c r="J279" s="111">
        <f t="shared" ref="J279:J285" si="37">TRUNC(L279/F279,4)</f>
        <v>38.509900000000002</v>
      </c>
      <c r="K279" s="111">
        <f t="shared" si="34"/>
        <v>22570.71</v>
      </c>
      <c r="L279" s="111">
        <f t="shared" si="35"/>
        <v>22570.71</v>
      </c>
      <c r="M279" s="112">
        <f>L279 / M428</f>
        <v>8.5247513846931459E-3</v>
      </c>
    </row>
    <row r="280" spans="1:13" ht="39" customHeight="1">
      <c r="A280" s="108" t="s">
        <v>340</v>
      </c>
      <c r="B280" s="108" t="s">
        <v>327</v>
      </c>
      <c r="C280" s="108" t="s">
        <v>48</v>
      </c>
      <c r="D280" s="108" t="s">
        <v>328</v>
      </c>
      <c r="E280" s="109" t="s">
        <v>63</v>
      </c>
      <c r="F280" s="110">
        <v>5.4</v>
      </c>
      <c r="G280" s="111">
        <v>8.9499999999999993</v>
      </c>
      <c r="H280" s="111">
        <f t="shared" si="36"/>
        <v>8.9499999999999993</v>
      </c>
      <c r="I280" s="111">
        <f>TRUNC(TRUNC(G280 * B4, 2) + G280, 2)</f>
        <v>10.82</v>
      </c>
      <c r="J280" s="111">
        <f t="shared" si="37"/>
        <v>10.8185</v>
      </c>
      <c r="K280" s="111">
        <f t="shared" si="34"/>
        <v>58.42</v>
      </c>
      <c r="L280" s="111">
        <f t="shared" si="35"/>
        <v>58.42</v>
      </c>
      <c r="M280" s="112">
        <f>L280 / M428</f>
        <v>2.2064701371546295E-5</v>
      </c>
    </row>
    <row r="281" spans="1:13" ht="39" customHeight="1">
      <c r="A281" s="108" t="s">
        <v>342</v>
      </c>
      <c r="B281" s="108" t="s">
        <v>302</v>
      </c>
      <c r="C281" s="108" t="s">
        <v>48</v>
      </c>
      <c r="D281" s="108" t="s">
        <v>303</v>
      </c>
      <c r="E281" s="109" t="s">
        <v>63</v>
      </c>
      <c r="F281" s="110">
        <v>338.4</v>
      </c>
      <c r="G281" s="111">
        <v>3.68</v>
      </c>
      <c r="H281" s="111">
        <f t="shared" si="36"/>
        <v>3.68</v>
      </c>
      <c r="I281" s="111">
        <f>TRUNC(TRUNC(G281 * B4, 2) + G281, 2)</f>
        <v>4.45</v>
      </c>
      <c r="J281" s="111">
        <f t="shared" si="37"/>
        <v>4.45</v>
      </c>
      <c r="K281" s="111">
        <f t="shared" si="34"/>
        <v>1505.88</v>
      </c>
      <c r="L281" s="111">
        <f t="shared" si="35"/>
        <v>1505.88</v>
      </c>
      <c r="M281" s="112">
        <f>L281 / M428</f>
        <v>5.6875714654885544E-4</v>
      </c>
    </row>
    <row r="282" spans="1:13" ht="39" customHeight="1">
      <c r="A282" s="108" t="s">
        <v>866</v>
      </c>
      <c r="B282" s="108" t="s">
        <v>304</v>
      </c>
      <c r="C282" s="108" t="s">
        <v>48</v>
      </c>
      <c r="D282" s="108" t="s">
        <v>305</v>
      </c>
      <c r="E282" s="109" t="s">
        <v>63</v>
      </c>
      <c r="F282" s="110">
        <v>866.7</v>
      </c>
      <c r="G282" s="111">
        <v>5.36</v>
      </c>
      <c r="H282" s="111">
        <f t="shared" si="36"/>
        <v>5.36</v>
      </c>
      <c r="I282" s="111">
        <f>TRUNC(TRUNC(G282 * B4, 2) + G282, 2)</f>
        <v>6.48</v>
      </c>
      <c r="J282" s="111">
        <f t="shared" si="37"/>
        <v>6.4798999999999998</v>
      </c>
      <c r="K282" s="111">
        <f t="shared" si="34"/>
        <v>5616.21</v>
      </c>
      <c r="L282" s="111">
        <f t="shared" si="35"/>
        <v>5616.21</v>
      </c>
      <c r="M282" s="112">
        <f>L282 / M428</f>
        <v>2.1211913127335159E-3</v>
      </c>
    </row>
    <row r="283" spans="1:13" ht="39" customHeight="1">
      <c r="A283" s="108" t="s">
        <v>867</v>
      </c>
      <c r="B283" s="108" t="s">
        <v>306</v>
      </c>
      <c r="C283" s="108" t="s">
        <v>48</v>
      </c>
      <c r="D283" s="108" t="s">
        <v>307</v>
      </c>
      <c r="E283" s="109" t="s">
        <v>63</v>
      </c>
      <c r="F283" s="110">
        <v>311.7</v>
      </c>
      <c r="G283" s="111">
        <v>8.35</v>
      </c>
      <c r="H283" s="111">
        <f t="shared" si="36"/>
        <v>8.34</v>
      </c>
      <c r="I283" s="111">
        <f>TRUNC(TRUNC(G283 * B4, 2) + G283, 2)</f>
        <v>10.09</v>
      </c>
      <c r="J283" s="111">
        <f t="shared" si="37"/>
        <v>10.0899</v>
      </c>
      <c r="K283" s="111">
        <f t="shared" si="34"/>
        <v>3145.05</v>
      </c>
      <c r="L283" s="111">
        <f t="shared" si="35"/>
        <v>3145.05</v>
      </c>
      <c r="M283" s="112">
        <f>L283 / M428</f>
        <v>1.1878567108624045E-3</v>
      </c>
    </row>
    <row r="284" spans="1:13" ht="52" customHeight="1">
      <c r="A284" s="108" t="s">
        <v>868</v>
      </c>
      <c r="B284" s="108" t="s">
        <v>869</v>
      </c>
      <c r="C284" s="108" t="s">
        <v>48</v>
      </c>
      <c r="D284" s="108" t="s">
        <v>870</v>
      </c>
      <c r="E284" s="109" t="s">
        <v>63</v>
      </c>
      <c r="F284" s="110">
        <v>512.4</v>
      </c>
      <c r="G284" s="111">
        <v>32.58</v>
      </c>
      <c r="H284" s="111">
        <f t="shared" si="36"/>
        <v>32.58</v>
      </c>
      <c r="I284" s="111">
        <f>TRUNC(TRUNC(G284 * B4, 2) + G284, 2)</f>
        <v>39.4</v>
      </c>
      <c r="J284" s="111">
        <f t="shared" si="37"/>
        <v>39.4</v>
      </c>
      <c r="K284" s="111">
        <f t="shared" si="34"/>
        <v>20188.560000000001</v>
      </c>
      <c r="L284" s="111">
        <f t="shared" si="35"/>
        <v>20188.560000000001</v>
      </c>
      <c r="M284" s="112">
        <f>L284 / M428</f>
        <v>7.6250350482975808E-3</v>
      </c>
    </row>
    <row r="285" spans="1:13" ht="39" customHeight="1">
      <c r="A285" s="108" t="s">
        <v>871</v>
      </c>
      <c r="B285" s="108" t="s">
        <v>308</v>
      </c>
      <c r="C285" s="108" t="s">
        <v>48</v>
      </c>
      <c r="D285" s="108" t="s">
        <v>309</v>
      </c>
      <c r="E285" s="109" t="s">
        <v>63</v>
      </c>
      <c r="F285" s="110">
        <v>31.3</v>
      </c>
      <c r="G285" s="111">
        <v>11.67</v>
      </c>
      <c r="H285" s="111">
        <f t="shared" si="36"/>
        <v>11.67</v>
      </c>
      <c r="I285" s="111">
        <f>TRUNC(TRUNC(G285 * B4, 2) + G285, 2)</f>
        <v>14.11</v>
      </c>
      <c r="J285" s="111">
        <f t="shared" si="37"/>
        <v>14.1099</v>
      </c>
      <c r="K285" s="111">
        <f t="shared" si="34"/>
        <v>441.64</v>
      </c>
      <c r="L285" s="111">
        <f t="shared" si="35"/>
        <v>441.64</v>
      </c>
      <c r="M285" s="112">
        <f>L285 / M428</f>
        <v>1.6680340146747182E-4</v>
      </c>
    </row>
    <row r="286" spans="1:13" ht="24" customHeight="1">
      <c r="A286" s="103" t="s">
        <v>346</v>
      </c>
      <c r="B286" s="103" t="s">
        <v>30</v>
      </c>
      <c r="C286" s="103"/>
      <c r="D286" s="103" t="s">
        <v>311</v>
      </c>
      <c r="E286" s="104"/>
      <c r="F286" s="105">
        <v>1</v>
      </c>
      <c r="G286" s="105" t="s">
        <v>31</v>
      </c>
      <c r="H286" s="105"/>
      <c r="I286" s="106">
        <f>K287 + K288 + K289 + K290 + K291</f>
        <v>38908.289999999994</v>
      </c>
      <c r="J286" s="106">
        <f>L287 + L288 + L289 + L290 + L291</f>
        <v>38908.289999999994</v>
      </c>
      <c r="K286" s="106">
        <f t="shared" si="34"/>
        <v>38908.29</v>
      </c>
      <c r="L286" s="106">
        <f t="shared" si="35"/>
        <v>38908.29</v>
      </c>
      <c r="M286" s="107">
        <f>L286 / M428</f>
        <v>1.4695306397253012E-2</v>
      </c>
    </row>
    <row r="287" spans="1:13" ht="52" customHeight="1">
      <c r="A287" s="108" t="s">
        <v>347</v>
      </c>
      <c r="B287" s="108" t="s">
        <v>872</v>
      </c>
      <c r="C287" s="108" t="s">
        <v>48</v>
      </c>
      <c r="D287" s="108" t="s">
        <v>873</v>
      </c>
      <c r="E287" s="109" t="s">
        <v>36</v>
      </c>
      <c r="F287" s="110">
        <v>7</v>
      </c>
      <c r="G287" s="111">
        <v>143.88999999999999</v>
      </c>
      <c r="H287" s="111">
        <f>ROUND(J287/(1+$B$4),2)</f>
        <v>143.88999999999999</v>
      </c>
      <c r="I287" s="111">
        <f>TRUNC(TRUNC(G287 * B4, 2) + G287, 2)</f>
        <v>174.02</v>
      </c>
      <c r="J287" s="111">
        <f>TRUNC(L287/F287,4)</f>
        <v>174.02</v>
      </c>
      <c r="K287" s="111">
        <f t="shared" si="34"/>
        <v>1218.1400000000001</v>
      </c>
      <c r="L287" s="111">
        <f t="shared" si="35"/>
        <v>1218.1400000000001</v>
      </c>
      <c r="M287" s="112">
        <f>L287 / M428</f>
        <v>4.6008037194001034E-4</v>
      </c>
    </row>
    <row r="288" spans="1:13" ht="39" customHeight="1">
      <c r="A288" s="108" t="s">
        <v>348</v>
      </c>
      <c r="B288" s="108" t="s">
        <v>874</v>
      </c>
      <c r="C288" s="108" t="s">
        <v>35</v>
      </c>
      <c r="D288" s="108" t="s">
        <v>875</v>
      </c>
      <c r="E288" s="109" t="s">
        <v>36</v>
      </c>
      <c r="F288" s="110">
        <v>7</v>
      </c>
      <c r="G288" s="111">
        <v>2207.35</v>
      </c>
      <c r="H288" s="111">
        <f>ROUND(J288/(1+$B$4),2)</f>
        <v>2207.34</v>
      </c>
      <c r="I288" s="111">
        <f>TRUNC(TRUNC(G288 * B4, 2) + G288, 2)</f>
        <v>2669.56</v>
      </c>
      <c r="J288" s="111">
        <f>TRUNC(L288/F288,4)</f>
        <v>2669.56</v>
      </c>
      <c r="K288" s="111">
        <f t="shared" si="34"/>
        <v>18686.919999999998</v>
      </c>
      <c r="L288" s="111">
        <f t="shared" si="35"/>
        <v>18686.919999999998</v>
      </c>
      <c r="M288" s="112">
        <f>L288 / M428</f>
        <v>7.057879311091678E-3</v>
      </c>
    </row>
    <row r="289" spans="1:13" ht="39" customHeight="1">
      <c r="A289" s="108" t="s">
        <v>351</v>
      </c>
      <c r="B289" s="108" t="s">
        <v>428</v>
      </c>
      <c r="C289" s="108" t="s">
        <v>48</v>
      </c>
      <c r="D289" s="108" t="s">
        <v>876</v>
      </c>
      <c r="E289" s="109" t="s">
        <v>36</v>
      </c>
      <c r="F289" s="110">
        <v>7</v>
      </c>
      <c r="G289" s="111">
        <v>492.92</v>
      </c>
      <c r="H289" s="111">
        <f>ROUND(J289/(1+$B$4),2)</f>
        <v>492.91</v>
      </c>
      <c r="I289" s="111">
        <f>TRUNC(TRUNC(G289 * B4, 2) + G289, 2)</f>
        <v>596.13</v>
      </c>
      <c r="J289" s="111">
        <f>TRUNC(L289/F289,4)</f>
        <v>596.13</v>
      </c>
      <c r="K289" s="111">
        <f t="shared" si="34"/>
        <v>4172.91</v>
      </c>
      <c r="L289" s="111">
        <f t="shared" si="35"/>
        <v>4172.91</v>
      </c>
      <c r="M289" s="112">
        <f>L289 / M428</f>
        <v>1.5760700616285388E-3</v>
      </c>
    </row>
    <row r="290" spans="1:13" ht="26" customHeight="1">
      <c r="A290" s="108" t="s">
        <v>353</v>
      </c>
      <c r="B290" s="108" t="s">
        <v>877</v>
      </c>
      <c r="C290" s="108" t="s">
        <v>35</v>
      </c>
      <c r="D290" s="108" t="s">
        <v>878</v>
      </c>
      <c r="E290" s="109" t="s">
        <v>36</v>
      </c>
      <c r="F290" s="110">
        <v>4</v>
      </c>
      <c r="G290" s="111">
        <v>133.01</v>
      </c>
      <c r="H290" s="111">
        <f>ROUND(J290/(1+$B$4),2)</f>
        <v>133.01</v>
      </c>
      <c r="I290" s="111">
        <f>TRUNC(TRUNC(G290 * B4, 2) + G290, 2)</f>
        <v>160.86000000000001</v>
      </c>
      <c r="J290" s="111">
        <f>TRUNC(L290/F290,4)</f>
        <v>160.86000000000001</v>
      </c>
      <c r="K290" s="111">
        <f t="shared" si="34"/>
        <v>643.44000000000005</v>
      </c>
      <c r="L290" s="111">
        <f t="shared" si="35"/>
        <v>643.44000000000005</v>
      </c>
      <c r="M290" s="112">
        <f>L290 / M428</f>
        <v>2.4302142161088239E-4</v>
      </c>
    </row>
    <row r="291" spans="1:13" ht="26" customHeight="1">
      <c r="A291" s="108" t="s">
        <v>354</v>
      </c>
      <c r="B291" s="108" t="s">
        <v>879</v>
      </c>
      <c r="C291" s="108" t="s">
        <v>35</v>
      </c>
      <c r="D291" s="108" t="s">
        <v>880</v>
      </c>
      <c r="E291" s="109" t="s">
        <v>36</v>
      </c>
      <c r="F291" s="110">
        <v>36</v>
      </c>
      <c r="G291" s="111">
        <v>325.85000000000002</v>
      </c>
      <c r="H291" s="111">
        <f>ROUND(J291/(1+$B$4),2)</f>
        <v>325.85000000000002</v>
      </c>
      <c r="I291" s="111">
        <f>TRUNC(TRUNC(G291 * B4, 2) + G291, 2)</f>
        <v>394.08</v>
      </c>
      <c r="J291" s="111">
        <f>TRUNC(L291/F291,4)</f>
        <v>394.08</v>
      </c>
      <c r="K291" s="111">
        <f t="shared" si="34"/>
        <v>14186.88</v>
      </c>
      <c r="L291" s="111">
        <f t="shared" si="35"/>
        <v>14186.88</v>
      </c>
      <c r="M291" s="112">
        <f>L291 / M428</f>
        <v>5.3582552309819013E-3</v>
      </c>
    </row>
    <row r="292" spans="1:13" ht="24" customHeight="1">
      <c r="A292" s="103" t="s">
        <v>355</v>
      </c>
      <c r="B292" s="103" t="s">
        <v>30</v>
      </c>
      <c r="C292" s="103"/>
      <c r="D292" s="103" t="s">
        <v>313</v>
      </c>
      <c r="E292" s="104"/>
      <c r="F292" s="105">
        <v>1</v>
      </c>
      <c r="G292" s="105" t="s">
        <v>31</v>
      </c>
      <c r="H292" s="105"/>
      <c r="I292" s="106">
        <f>K293</f>
        <v>1150.07</v>
      </c>
      <c r="J292" s="106">
        <f>L293</f>
        <v>1150.07</v>
      </c>
      <c r="K292" s="106">
        <f t="shared" si="34"/>
        <v>1150.07</v>
      </c>
      <c r="L292" s="106">
        <f t="shared" si="35"/>
        <v>1150.07</v>
      </c>
      <c r="M292" s="107">
        <f>L292 / M428</f>
        <v>4.3437095354971321E-4</v>
      </c>
    </row>
    <row r="293" spans="1:13" ht="39" customHeight="1">
      <c r="A293" s="108" t="s">
        <v>356</v>
      </c>
      <c r="B293" s="108" t="s">
        <v>881</v>
      </c>
      <c r="C293" s="108" t="s">
        <v>35</v>
      </c>
      <c r="D293" s="108" t="s">
        <v>882</v>
      </c>
      <c r="E293" s="109" t="s">
        <v>36</v>
      </c>
      <c r="F293" s="110">
        <v>19</v>
      </c>
      <c r="G293" s="111">
        <v>50.05</v>
      </c>
      <c r="H293" s="111">
        <f>ROUND(J293/(1+$B$4),2)</f>
        <v>50.05</v>
      </c>
      <c r="I293" s="111">
        <f>TRUNC(TRUNC(G293 * B4, 2) + G293, 2)</f>
        <v>60.53</v>
      </c>
      <c r="J293" s="111">
        <f>TRUNC(L293/F293,4)</f>
        <v>60.53</v>
      </c>
      <c r="K293" s="111">
        <f t="shared" si="34"/>
        <v>1150.07</v>
      </c>
      <c r="L293" s="111">
        <f t="shared" si="35"/>
        <v>1150.07</v>
      </c>
      <c r="M293" s="112">
        <f>L293 / M428</f>
        <v>4.3437095354971321E-4</v>
      </c>
    </row>
    <row r="294" spans="1:13" ht="24" customHeight="1">
      <c r="A294" s="103" t="s">
        <v>357</v>
      </c>
      <c r="B294" s="103" t="s">
        <v>30</v>
      </c>
      <c r="C294" s="103"/>
      <c r="D294" s="103" t="s">
        <v>883</v>
      </c>
      <c r="E294" s="104"/>
      <c r="F294" s="105">
        <v>1</v>
      </c>
      <c r="G294" s="105" t="s">
        <v>31</v>
      </c>
      <c r="H294" s="105"/>
      <c r="I294" s="106">
        <f>K295 + K296 + K297 + K298</f>
        <v>6221.87</v>
      </c>
      <c r="J294" s="106">
        <f>L295 + L296 + L297 + L298</f>
        <v>6221.87</v>
      </c>
      <c r="K294" s="106">
        <f t="shared" si="34"/>
        <v>6221.87</v>
      </c>
      <c r="L294" s="106">
        <f t="shared" si="35"/>
        <v>6221.87</v>
      </c>
      <c r="M294" s="107">
        <f>L294 / M428</f>
        <v>2.3499435727932683E-3</v>
      </c>
    </row>
    <row r="295" spans="1:13" ht="52" customHeight="1">
      <c r="A295" s="108" t="s">
        <v>358</v>
      </c>
      <c r="B295" s="108" t="s">
        <v>884</v>
      </c>
      <c r="C295" s="108" t="s">
        <v>35</v>
      </c>
      <c r="D295" s="108" t="s">
        <v>885</v>
      </c>
      <c r="E295" s="109" t="s">
        <v>63</v>
      </c>
      <c r="F295" s="110">
        <v>161.4</v>
      </c>
      <c r="G295" s="111">
        <v>31.36</v>
      </c>
      <c r="H295" s="111">
        <f>ROUND(J295/(1+$B$4),2)</f>
        <v>31.35</v>
      </c>
      <c r="I295" s="111">
        <f>TRUNC(TRUNC(G295 * B4, 2) + G295, 2)</f>
        <v>37.92</v>
      </c>
      <c r="J295" s="111">
        <f>TRUNC(L295/F295,4)</f>
        <v>37.919899999999998</v>
      </c>
      <c r="K295" s="111">
        <f t="shared" si="34"/>
        <v>6120.28</v>
      </c>
      <c r="L295" s="111">
        <f t="shared" si="35"/>
        <v>6120.28</v>
      </c>
      <c r="M295" s="112">
        <f>L295 / M428</f>
        <v>2.3115739560124501E-3</v>
      </c>
    </row>
    <row r="296" spans="1:13" ht="26" customHeight="1">
      <c r="A296" s="108" t="s">
        <v>429</v>
      </c>
      <c r="B296" s="108" t="s">
        <v>886</v>
      </c>
      <c r="C296" s="108" t="s">
        <v>390</v>
      </c>
      <c r="D296" s="108" t="s">
        <v>887</v>
      </c>
      <c r="E296" s="109" t="s">
        <v>240</v>
      </c>
      <c r="F296" s="110">
        <v>4</v>
      </c>
      <c r="G296" s="111">
        <v>8.8800000000000008</v>
      </c>
      <c r="H296" s="111">
        <f>ROUND(J296/(1+$B$4),2)</f>
        <v>8.8699999999999992</v>
      </c>
      <c r="I296" s="111">
        <f>TRUNC(TRUNC(G296 * B4, 2) + G296, 2)</f>
        <v>10.73</v>
      </c>
      <c r="J296" s="111">
        <f>TRUNC(L296/F296,4)</f>
        <v>10.73</v>
      </c>
      <c r="K296" s="111">
        <f t="shared" si="34"/>
        <v>42.92</v>
      </c>
      <c r="L296" s="111">
        <f t="shared" si="35"/>
        <v>42.92</v>
      </c>
      <c r="M296" s="112">
        <f>L296 / M428</f>
        <v>1.6210492688578688E-5</v>
      </c>
    </row>
    <row r="297" spans="1:13" ht="26" customHeight="1">
      <c r="A297" s="108" t="s">
        <v>888</v>
      </c>
      <c r="B297" s="108" t="s">
        <v>889</v>
      </c>
      <c r="C297" s="108" t="s">
        <v>390</v>
      </c>
      <c r="D297" s="108" t="s">
        <v>890</v>
      </c>
      <c r="E297" s="109" t="s">
        <v>240</v>
      </c>
      <c r="F297" s="110">
        <v>1</v>
      </c>
      <c r="G297" s="111">
        <v>22.48</v>
      </c>
      <c r="H297" s="111">
        <f>ROUND(J297/(1+$B$4),2)</f>
        <v>22.47</v>
      </c>
      <c r="I297" s="111">
        <f>TRUNC(TRUNC(G297 * B4, 2) + G297, 2)</f>
        <v>27.18</v>
      </c>
      <c r="J297" s="111">
        <f>TRUNC(L297/F297,4)</f>
        <v>27.18</v>
      </c>
      <c r="K297" s="111">
        <f t="shared" si="34"/>
        <v>27.18</v>
      </c>
      <c r="L297" s="111">
        <f t="shared" si="35"/>
        <v>27.18</v>
      </c>
      <c r="M297" s="112">
        <f>L297 / M428</f>
        <v>1.0265638193745776E-5</v>
      </c>
    </row>
    <row r="298" spans="1:13" ht="26" customHeight="1">
      <c r="A298" s="108" t="s">
        <v>891</v>
      </c>
      <c r="B298" s="108" t="s">
        <v>892</v>
      </c>
      <c r="C298" s="108" t="s">
        <v>390</v>
      </c>
      <c r="D298" s="108" t="s">
        <v>393</v>
      </c>
      <c r="E298" s="109" t="s">
        <v>240</v>
      </c>
      <c r="F298" s="110">
        <v>1</v>
      </c>
      <c r="G298" s="111">
        <v>26.04</v>
      </c>
      <c r="H298" s="111">
        <f>ROUND(J298/(1+$B$4),2)</f>
        <v>26.04</v>
      </c>
      <c r="I298" s="111">
        <f>TRUNC(TRUNC(G298 * B4, 2) + G298, 2)</f>
        <v>31.49</v>
      </c>
      <c r="J298" s="111">
        <f>TRUNC(L298/F298,4)</f>
        <v>31.49</v>
      </c>
      <c r="K298" s="111">
        <f t="shared" si="34"/>
        <v>31.49</v>
      </c>
      <c r="L298" s="111">
        <f t="shared" si="35"/>
        <v>31.49</v>
      </c>
      <c r="M298" s="112">
        <f>L298 / M428</f>
        <v>1.1893485898493542E-5</v>
      </c>
    </row>
    <row r="299" spans="1:13" ht="24" customHeight="1">
      <c r="A299" s="103" t="s">
        <v>430</v>
      </c>
      <c r="B299" s="103" t="s">
        <v>30</v>
      </c>
      <c r="C299" s="103"/>
      <c r="D299" s="103" t="s">
        <v>893</v>
      </c>
      <c r="E299" s="104"/>
      <c r="F299" s="105">
        <v>1</v>
      </c>
      <c r="G299" s="105" t="s">
        <v>31</v>
      </c>
      <c r="H299" s="105"/>
      <c r="I299" s="106">
        <f>K300 + K301 + K302 + K303</f>
        <v>1491</v>
      </c>
      <c r="J299" s="106">
        <f>L300 + L301 + L302 + L303</f>
        <v>1491</v>
      </c>
      <c r="K299" s="106">
        <f t="shared" si="34"/>
        <v>1491</v>
      </c>
      <c r="L299" s="106">
        <f t="shared" si="35"/>
        <v>1491</v>
      </c>
      <c r="M299" s="107">
        <f>L299 / M428</f>
        <v>5.6313710621320654E-4</v>
      </c>
    </row>
    <row r="300" spans="1:13" ht="52" customHeight="1">
      <c r="A300" s="108" t="s">
        <v>431</v>
      </c>
      <c r="B300" s="108" t="s">
        <v>894</v>
      </c>
      <c r="C300" s="108" t="s">
        <v>35</v>
      </c>
      <c r="D300" s="108" t="s">
        <v>895</v>
      </c>
      <c r="E300" s="109" t="s">
        <v>36</v>
      </c>
      <c r="F300" s="110">
        <v>3</v>
      </c>
      <c r="G300" s="111">
        <v>20.2</v>
      </c>
      <c r="H300" s="111">
        <f>ROUND(J300/(1+$B$4),2)</f>
        <v>20.190000000000001</v>
      </c>
      <c r="I300" s="111">
        <f>TRUNC(TRUNC(G300 * B4, 2) + G300, 2)</f>
        <v>24.42</v>
      </c>
      <c r="J300" s="111">
        <f>TRUNC(L300/F300,4)</f>
        <v>24.42</v>
      </c>
      <c r="K300" s="111">
        <f t="shared" si="34"/>
        <v>73.260000000000005</v>
      </c>
      <c r="L300" s="111">
        <f t="shared" si="35"/>
        <v>73.260000000000005</v>
      </c>
      <c r="M300" s="112">
        <f>L300 / M428</f>
        <v>2.7669634071884311E-5</v>
      </c>
    </row>
    <row r="301" spans="1:13" ht="26" customHeight="1">
      <c r="A301" s="108" t="s">
        <v>896</v>
      </c>
      <c r="B301" s="108" t="s">
        <v>344</v>
      </c>
      <c r="C301" s="108" t="s">
        <v>48</v>
      </c>
      <c r="D301" s="108" t="s">
        <v>345</v>
      </c>
      <c r="E301" s="109" t="s">
        <v>63</v>
      </c>
      <c r="F301" s="110">
        <v>10.199999999999999</v>
      </c>
      <c r="G301" s="111">
        <v>74.02</v>
      </c>
      <c r="H301" s="111">
        <f>ROUND(J301/(1+$B$4),2)</f>
        <v>74.010000000000005</v>
      </c>
      <c r="I301" s="111">
        <f>TRUNC(TRUNC(G301 * B4, 2) + G301, 2)</f>
        <v>89.51</v>
      </c>
      <c r="J301" s="111">
        <f>TRUNC(L301/F301,4)</f>
        <v>89.509799999999998</v>
      </c>
      <c r="K301" s="111">
        <f t="shared" si="34"/>
        <v>913</v>
      </c>
      <c r="L301" s="111">
        <f t="shared" si="35"/>
        <v>913</v>
      </c>
      <c r="M301" s="112">
        <f>L301 / M428</f>
        <v>3.4483177597093061E-4</v>
      </c>
    </row>
    <row r="302" spans="1:13" ht="26" customHeight="1">
      <c r="A302" s="108" t="s">
        <v>897</v>
      </c>
      <c r="B302" s="108" t="s">
        <v>331</v>
      </c>
      <c r="C302" s="108" t="s">
        <v>48</v>
      </c>
      <c r="D302" s="108" t="s">
        <v>332</v>
      </c>
      <c r="E302" s="109" t="s">
        <v>36</v>
      </c>
      <c r="F302" s="110">
        <v>2.4</v>
      </c>
      <c r="G302" s="111">
        <v>74.55</v>
      </c>
      <c r="H302" s="111">
        <f>ROUND(J302/(1+$B$4),2)</f>
        <v>74.55</v>
      </c>
      <c r="I302" s="111">
        <f>TRUNC(TRUNC(G302 * B4, 2) + G302, 2)</f>
        <v>90.16</v>
      </c>
      <c r="J302" s="111">
        <f>TRUNC(L302/F302,4)</f>
        <v>90.158299999999997</v>
      </c>
      <c r="K302" s="111">
        <f t="shared" si="34"/>
        <v>216.38</v>
      </c>
      <c r="L302" s="111">
        <f t="shared" si="35"/>
        <v>216.38</v>
      </c>
      <c r="M302" s="112">
        <f>L302 / M428</f>
        <v>8.1724753214227784E-5</v>
      </c>
    </row>
    <row r="303" spans="1:13" ht="39" customHeight="1">
      <c r="A303" s="108" t="s">
        <v>898</v>
      </c>
      <c r="B303" s="108" t="s">
        <v>899</v>
      </c>
      <c r="C303" s="108" t="s">
        <v>48</v>
      </c>
      <c r="D303" s="108" t="s">
        <v>900</v>
      </c>
      <c r="E303" s="109" t="s">
        <v>36</v>
      </c>
      <c r="F303" s="110">
        <v>1</v>
      </c>
      <c r="G303" s="111">
        <v>238.44</v>
      </c>
      <c r="H303" s="111">
        <f>ROUND(J303/(1+$B$4),2)</f>
        <v>238.43</v>
      </c>
      <c r="I303" s="111">
        <f>TRUNC(TRUNC(G303 * B4, 2) + G303, 2)</f>
        <v>288.36</v>
      </c>
      <c r="J303" s="111">
        <f>TRUNC(L303/F303,4)</f>
        <v>288.36</v>
      </c>
      <c r="K303" s="111">
        <f t="shared" si="34"/>
        <v>288.36</v>
      </c>
      <c r="L303" s="111">
        <f t="shared" si="35"/>
        <v>288.36</v>
      </c>
      <c r="M303" s="112">
        <f>L303 / M428</f>
        <v>1.0891094295616381E-4</v>
      </c>
    </row>
    <row r="304" spans="1:13" ht="24" customHeight="1">
      <c r="A304" s="103" t="s">
        <v>901</v>
      </c>
      <c r="B304" s="103" t="s">
        <v>30</v>
      </c>
      <c r="C304" s="103"/>
      <c r="D304" s="103" t="s">
        <v>902</v>
      </c>
      <c r="E304" s="104"/>
      <c r="F304" s="105">
        <v>1</v>
      </c>
      <c r="G304" s="105" t="s">
        <v>31</v>
      </c>
      <c r="H304" s="105"/>
      <c r="I304" s="106">
        <f>K305 + K306 + K307 + K308 + K309 + K310 + K311</f>
        <v>1100.6500000000001</v>
      </c>
      <c r="J304" s="106">
        <f>L305 + L306 + L307 + L308 + L309 + L310 + L311</f>
        <v>1100.6500000000001</v>
      </c>
      <c r="K304" s="106">
        <f t="shared" si="34"/>
        <v>1100.6500000000001</v>
      </c>
      <c r="L304" s="106">
        <f t="shared" si="35"/>
        <v>1100.6500000000001</v>
      </c>
      <c r="M304" s="107">
        <f>L304 / M428</f>
        <v>4.1570547012311588E-4</v>
      </c>
    </row>
    <row r="305" spans="1:13" ht="52" customHeight="1">
      <c r="A305" s="108" t="s">
        <v>903</v>
      </c>
      <c r="B305" s="108" t="s">
        <v>191</v>
      </c>
      <c r="C305" s="108" t="s">
        <v>48</v>
      </c>
      <c r="D305" s="108" t="s">
        <v>192</v>
      </c>
      <c r="E305" s="109" t="s">
        <v>49</v>
      </c>
      <c r="F305" s="110">
        <v>3.3</v>
      </c>
      <c r="G305" s="111">
        <v>71.11</v>
      </c>
      <c r="H305" s="111">
        <f t="shared" ref="H305:H311" si="38">ROUND(J305/(1+$B$4),2)</f>
        <v>71.11</v>
      </c>
      <c r="I305" s="111">
        <f>TRUNC(TRUNC(G305 * B4, 2) + G305, 2)</f>
        <v>86</v>
      </c>
      <c r="J305" s="111">
        <f t="shared" ref="J305:J311" si="39">TRUNC(L305/F305,4)</f>
        <v>86</v>
      </c>
      <c r="K305" s="111">
        <f t="shared" si="34"/>
        <v>283.8</v>
      </c>
      <c r="L305" s="111">
        <f t="shared" si="35"/>
        <v>283.8</v>
      </c>
      <c r="M305" s="112">
        <f>L305 / M428</f>
        <v>1.0718867253072301E-4</v>
      </c>
    </row>
    <row r="306" spans="1:13" ht="52" customHeight="1">
      <c r="A306" s="108" t="s">
        <v>904</v>
      </c>
      <c r="B306" s="108" t="s">
        <v>237</v>
      </c>
      <c r="C306" s="108" t="s">
        <v>48</v>
      </c>
      <c r="D306" s="108" t="s">
        <v>238</v>
      </c>
      <c r="E306" s="109" t="s">
        <v>49</v>
      </c>
      <c r="F306" s="110">
        <v>6.24</v>
      </c>
      <c r="G306" s="111">
        <v>5.0599999999999996</v>
      </c>
      <c r="H306" s="111">
        <f t="shared" si="38"/>
        <v>5.05</v>
      </c>
      <c r="I306" s="111">
        <f>TRUNC(TRUNC(G306 * B4, 2) + G306, 2)</f>
        <v>6.11</v>
      </c>
      <c r="J306" s="111">
        <f t="shared" si="39"/>
        <v>6.1089000000000002</v>
      </c>
      <c r="K306" s="111">
        <f t="shared" si="34"/>
        <v>38.119999999999997</v>
      </c>
      <c r="L306" s="111">
        <f t="shared" si="35"/>
        <v>38.119999999999997</v>
      </c>
      <c r="M306" s="112">
        <f>L306 / M428</f>
        <v>1.4397576451272588E-5</v>
      </c>
    </row>
    <row r="307" spans="1:13" ht="65" customHeight="1">
      <c r="A307" s="108" t="s">
        <v>905</v>
      </c>
      <c r="B307" s="108" t="s">
        <v>333</v>
      </c>
      <c r="C307" s="108" t="s">
        <v>48</v>
      </c>
      <c r="D307" s="108" t="s">
        <v>906</v>
      </c>
      <c r="E307" s="109" t="s">
        <v>49</v>
      </c>
      <c r="F307" s="110">
        <v>6.24</v>
      </c>
      <c r="G307" s="111">
        <v>31.79</v>
      </c>
      <c r="H307" s="111">
        <f t="shared" si="38"/>
        <v>31.78</v>
      </c>
      <c r="I307" s="111">
        <f>TRUNC(TRUNC(G307 * B4, 2) + G307, 2)</f>
        <v>38.44</v>
      </c>
      <c r="J307" s="111">
        <f t="shared" si="39"/>
        <v>38.439100000000003</v>
      </c>
      <c r="K307" s="111">
        <f t="shared" si="34"/>
        <v>239.86</v>
      </c>
      <c r="L307" s="111">
        <f t="shared" si="35"/>
        <v>239.86</v>
      </c>
      <c r="M307" s="112">
        <f>L307 / M428</f>
        <v>9.0592935141716778E-5</v>
      </c>
    </row>
    <row r="308" spans="1:13" ht="26" customHeight="1">
      <c r="A308" s="108" t="s">
        <v>907</v>
      </c>
      <c r="B308" s="108" t="s">
        <v>230</v>
      </c>
      <c r="C308" s="108" t="s">
        <v>48</v>
      </c>
      <c r="D308" s="108" t="s">
        <v>908</v>
      </c>
      <c r="E308" s="109" t="s">
        <v>49</v>
      </c>
      <c r="F308" s="110">
        <v>6.24</v>
      </c>
      <c r="G308" s="111">
        <v>33.869999999999997</v>
      </c>
      <c r="H308" s="111">
        <f t="shared" si="38"/>
        <v>33.869999999999997</v>
      </c>
      <c r="I308" s="111">
        <f>TRUNC(TRUNC(G308 * B4, 2) + G308, 2)</f>
        <v>40.96</v>
      </c>
      <c r="J308" s="111">
        <f t="shared" si="39"/>
        <v>40.959899999999998</v>
      </c>
      <c r="K308" s="111">
        <f t="shared" si="34"/>
        <v>255.59</v>
      </c>
      <c r="L308" s="111">
        <f t="shared" si="35"/>
        <v>255.59</v>
      </c>
      <c r="M308" s="112">
        <f>L308 / M428</f>
        <v>9.653401272772196E-5</v>
      </c>
    </row>
    <row r="309" spans="1:13" ht="26" customHeight="1">
      <c r="A309" s="108" t="s">
        <v>909</v>
      </c>
      <c r="B309" s="108" t="s">
        <v>334</v>
      </c>
      <c r="C309" s="108" t="s">
        <v>48</v>
      </c>
      <c r="D309" s="108" t="s">
        <v>335</v>
      </c>
      <c r="E309" s="109" t="s">
        <v>49</v>
      </c>
      <c r="F309" s="110">
        <v>6.24</v>
      </c>
      <c r="G309" s="111">
        <v>14.45</v>
      </c>
      <c r="H309" s="111">
        <f t="shared" si="38"/>
        <v>14.44</v>
      </c>
      <c r="I309" s="111">
        <f>TRUNC(TRUNC(G309 * B4, 2) + G309, 2)</f>
        <v>17.47</v>
      </c>
      <c r="J309" s="111">
        <f t="shared" si="39"/>
        <v>17.4695</v>
      </c>
      <c r="K309" s="111">
        <f t="shared" si="34"/>
        <v>109.01</v>
      </c>
      <c r="L309" s="111">
        <f t="shared" si="35"/>
        <v>109.01</v>
      </c>
      <c r="M309" s="112">
        <f>L309 / M428</f>
        <v>4.1172083130987017E-5</v>
      </c>
    </row>
    <row r="310" spans="1:13" ht="52" customHeight="1">
      <c r="A310" s="108" t="s">
        <v>910</v>
      </c>
      <c r="B310" s="108" t="s">
        <v>911</v>
      </c>
      <c r="C310" s="108" t="s">
        <v>48</v>
      </c>
      <c r="D310" s="108" t="s">
        <v>912</v>
      </c>
      <c r="E310" s="109" t="s">
        <v>49</v>
      </c>
      <c r="F310" s="110">
        <v>0.85</v>
      </c>
      <c r="G310" s="111">
        <v>84.95</v>
      </c>
      <c r="H310" s="111">
        <f t="shared" si="38"/>
        <v>84.94</v>
      </c>
      <c r="I310" s="111">
        <f>TRUNC(TRUNC(G310 * B4, 2) + G310, 2)</f>
        <v>102.73</v>
      </c>
      <c r="J310" s="111">
        <f t="shared" si="39"/>
        <v>102.7294</v>
      </c>
      <c r="K310" s="111">
        <f t="shared" si="34"/>
        <v>87.32</v>
      </c>
      <c r="L310" s="111">
        <f t="shared" si="35"/>
        <v>87.32</v>
      </c>
      <c r="M310" s="112">
        <f>L310 / M428</f>
        <v>3.2979967883660084E-5</v>
      </c>
    </row>
    <row r="311" spans="1:13" ht="26" customHeight="1">
      <c r="A311" s="108" t="s">
        <v>913</v>
      </c>
      <c r="B311" s="108" t="s">
        <v>914</v>
      </c>
      <c r="C311" s="108" t="s">
        <v>48</v>
      </c>
      <c r="D311" s="108" t="s">
        <v>915</v>
      </c>
      <c r="E311" s="109" t="s">
        <v>63</v>
      </c>
      <c r="F311" s="110">
        <v>1.7</v>
      </c>
      <c r="G311" s="111">
        <v>42.3</v>
      </c>
      <c r="H311" s="111">
        <f t="shared" si="38"/>
        <v>42.29</v>
      </c>
      <c r="I311" s="111">
        <f>TRUNC(TRUNC(G311 * B4, 2) + G311, 2)</f>
        <v>51.15</v>
      </c>
      <c r="J311" s="111">
        <f t="shared" si="39"/>
        <v>51.146999999999998</v>
      </c>
      <c r="K311" s="111">
        <f t="shared" si="34"/>
        <v>86.95</v>
      </c>
      <c r="L311" s="111">
        <f t="shared" si="35"/>
        <v>86.95</v>
      </c>
      <c r="M311" s="112">
        <f>L311 / M428</f>
        <v>3.2840222257034409E-5</v>
      </c>
    </row>
    <row r="312" spans="1:13" ht="26" customHeight="1">
      <c r="A312" s="103" t="s">
        <v>916</v>
      </c>
      <c r="B312" s="103" t="s">
        <v>30</v>
      </c>
      <c r="C312" s="103"/>
      <c r="D312" s="103" t="s">
        <v>337</v>
      </c>
      <c r="E312" s="104"/>
      <c r="F312" s="105">
        <v>1</v>
      </c>
      <c r="G312" s="105" t="s">
        <v>31</v>
      </c>
      <c r="H312" s="105"/>
      <c r="I312" s="106">
        <f>K313 + K315 + K317</f>
        <v>20128.919999999998</v>
      </c>
      <c r="J312" s="106">
        <f>L313 + L315 + L317</f>
        <v>20128.919999999998</v>
      </c>
      <c r="K312" s="106">
        <f t="shared" si="34"/>
        <v>20128.919999999998</v>
      </c>
      <c r="L312" s="106">
        <f t="shared" si="35"/>
        <v>20128.919999999998</v>
      </c>
      <c r="M312" s="107">
        <f>L312 / M428</f>
        <v>7.6025095640490517E-3</v>
      </c>
    </row>
    <row r="313" spans="1:13" ht="24" customHeight="1">
      <c r="A313" s="103" t="s">
        <v>917</v>
      </c>
      <c r="B313" s="103" t="s">
        <v>30</v>
      </c>
      <c r="C313" s="103"/>
      <c r="D313" s="103" t="s">
        <v>341</v>
      </c>
      <c r="E313" s="104"/>
      <c r="F313" s="105">
        <v>1</v>
      </c>
      <c r="G313" s="105" t="s">
        <v>31</v>
      </c>
      <c r="H313" s="105"/>
      <c r="I313" s="106">
        <f>K314</f>
        <v>2594.4299999999998</v>
      </c>
      <c r="J313" s="106">
        <f>L314</f>
        <v>2594.4299999999998</v>
      </c>
      <c r="K313" s="106">
        <f t="shared" si="34"/>
        <v>2594.4299999999998</v>
      </c>
      <c r="L313" s="106">
        <f t="shared" si="35"/>
        <v>2594.4299999999998</v>
      </c>
      <c r="M313" s="107">
        <f>L313 / M428</f>
        <v>9.7989255699042883E-4</v>
      </c>
    </row>
    <row r="314" spans="1:13" ht="26" customHeight="1">
      <c r="A314" s="108" t="s">
        <v>918</v>
      </c>
      <c r="B314" s="108" t="s">
        <v>919</v>
      </c>
      <c r="C314" s="108" t="s">
        <v>48</v>
      </c>
      <c r="D314" s="108" t="s">
        <v>920</v>
      </c>
      <c r="E314" s="109" t="s">
        <v>36</v>
      </c>
      <c r="F314" s="110">
        <v>81</v>
      </c>
      <c r="G314" s="111">
        <v>26.49</v>
      </c>
      <c r="H314" s="111">
        <f>ROUND(J314/(1+$B$4),2)</f>
        <v>26.48</v>
      </c>
      <c r="I314" s="111">
        <f>TRUNC(TRUNC(G314 * B4, 2) + G314, 2)</f>
        <v>32.03</v>
      </c>
      <c r="J314" s="111">
        <f>TRUNC(L314/F314,4)</f>
        <v>32.03</v>
      </c>
      <c r="K314" s="111">
        <f t="shared" si="34"/>
        <v>2594.4299999999998</v>
      </c>
      <c r="L314" s="111">
        <f t="shared" si="35"/>
        <v>2594.4299999999998</v>
      </c>
      <c r="M314" s="112">
        <f>L314 / M428</f>
        <v>9.7989255699042883E-4</v>
      </c>
    </row>
    <row r="315" spans="1:13" ht="24" customHeight="1">
      <c r="A315" s="103" t="s">
        <v>921</v>
      </c>
      <c r="B315" s="103" t="s">
        <v>30</v>
      </c>
      <c r="C315" s="103"/>
      <c r="D315" s="103" t="s">
        <v>343</v>
      </c>
      <c r="E315" s="104"/>
      <c r="F315" s="105">
        <v>1</v>
      </c>
      <c r="G315" s="105" t="s">
        <v>31</v>
      </c>
      <c r="H315" s="105"/>
      <c r="I315" s="106">
        <f>K316</f>
        <v>2721.4</v>
      </c>
      <c r="J315" s="106">
        <f>L316</f>
        <v>2721.4</v>
      </c>
      <c r="K315" s="106">
        <f t="shared" si="34"/>
        <v>2721.4</v>
      </c>
      <c r="L315" s="106">
        <f t="shared" si="35"/>
        <v>2721.4</v>
      </c>
      <c r="M315" s="107">
        <f>L315 / M428</f>
        <v>1.0278479683760028E-3</v>
      </c>
    </row>
    <row r="316" spans="1:13" ht="26" customHeight="1">
      <c r="A316" s="108" t="s">
        <v>922</v>
      </c>
      <c r="B316" s="108" t="s">
        <v>923</v>
      </c>
      <c r="C316" s="108" t="s">
        <v>35</v>
      </c>
      <c r="D316" s="108" t="s">
        <v>924</v>
      </c>
      <c r="E316" s="109" t="s">
        <v>205</v>
      </c>
      <c r="F316" s="110">
        <v>220</v>
      </c>
      <c r="G316" s="111">
        <v>10.23</v>
      </c>
      <c r="H316" s="111">
        <f>ROUND(J316/(1+$B$4),2)</f>
        <v>10.23</v>
      </c>
      <c r="I316" s="111">
        <f>TRUNC(TRUNC(G316 * B4, 2) + G316, 2)</f>
        <v>12.37</v>
      </c>
      <c r="J316" s="111">
        <f>TRUNC(L316/F316,4)</f>
        <v>12.37</v>
      </c>
      <c r="K316" s="111">
        <f t="shared" si="34"/>
        <v>2721.4</v>
      </c>
      <c r="L316" s="111">
        <f t="shared" si="35"/>
        <v>2721.4</v>
      </c>
      <c r="M316" s="112">
        <f>L316 / M428</f>
        <v>1.0278479683760028E-3</v>
      </c>
    </row>
    <row r="317" spans="1:13" ht="24" customHeight="1">
      <c r="A317" s="103" t="s">
        <v>925</v>
      </c>
      <c r="B317" s="103" t="s">
        <v>30</v>
      </c>
      <c r="C317" s="103"/>
      <c r="D317" s="103" t="s">
        <v>339</v>
      </c>
      <c r="E317" s="104"/>
      <c r="F317" s="105">
        <v>1</v>
      </c>
      <c r="G317" s="105" t="s">
        <v>31</v>
      </c>
      <c r="H317" s="105"/>
      <c r="I317" s="106">
        <f>K318 + K319 + K320 + K321</f>
        <v>14813.090000000002</v>
      </c>
      <c r="J317" s="106">
        <f>L318 + L319 + L320 + L321</f>
        <v>14813.090000000002</v>
      </c>
      <c r="K317" s="106">
        <f t="shared" si="34"/>
        <v>14813.09</v>
      </c>
      <c r="L317" s="106">
        <f t="shared" si="35"/>
        <v>14813.09</v>
      </c>
      <c r="M317" s="107">
        <f>L317 / M428</f>
        <v>5.5947690386826208E-3</v>
      </c>
    </row>
    <row r="318" spans="1:13" ht="24" customHeight="1">
      <c r="A318" s="108" t="s">
        <v>926</v>
      </c>
      <c r="B318" s="108" t="s">
        <v>927</v>
      </c>
      <c r="C318" s="108" t="s">
        <v>389</v>
      </c>
      <c r="D318" s="108" t="s">
        <v>928</v>
      </c>
      <c r="E318" s="109" t="s">
        <v>36</v>
      </c>
      <c r="F318" s="110">
        <v>1</v>
      </c>
      <c r="G318" s="111">
        <v>537.13</v>
      </c>
      <c r="H318" s="111">
        <f>ROUND(J318/(1+$B$4),2)</f>
        <v>537.13</v>
      </c>
      <c r="I318" s="111">
        <f>TRUNC(TRUNC(G318 * B4, 2) + G318, 2)</f>
        <v>649.6</v>
      </c>
      <c r="J318" s="111">
        <f>TRUNC(L318/F318,4)</f>
        <v>649.6</v>
      </c>
      <c r="K318" s="111">
        <f t="shared" si="34"/>
        <v>649.6</v>
      </c>
      <c r="L318" s="111">
        <f t="shared" si="35"/>
        <v>649.6</v>
      </c>
      <c r="M318" s="112">
        <f>L318 / M428</f>
        <v>2.453479974487585E-4</v>
      </c>
    </row>
    <row r="319" spans="1:13" ht="26" customHeight="1">
      <c r="A319" s="108" t="s">
        <v>929</v>
      </c>
      <c r="B319" s="108" t="s">
        <v>344</v>
      </c>
      <c r="C319" s="108" t="s">
        <v>48</v>
      </c>
      <c r="D319" s="108" t="s">
        <v>345</v>
      </c>
      <c r="E319" s="109" t="s">
        <v>63</v>
      </c>
      <c r="F319" s="110">
        <v>80</v>
      </c>
      <c r="G319" s="111">
        <v>74.02</v>
      </c>
      <c r="H319" s="111">
        <f>ROUND(J319/(1+$B$4),2)</f>
        <v>74.010000000000005</v>
      </c>
      <c r="I319" s="111">
        <f>TRUNC(TRUNC(G319 * B4, 2) + G319, 2)</f>
        <v>89.51</v>
      </c>
      <c r="J319" s="111">
        <f>TRUNC(L319/F319,4)</f>
        <v>89.51</v>
      </c>
      <c r="K319" s="111">
        <f t="shared" si="34"/>
        <v>7160.8</v>
      </c>
      <c r="L319" s="111">
        <f t="shared" si="35"/>
        <v>7160.8</v>
      </c>
      <c r="M319" s="112">
        <f>L319 / M428</f>
        <v>2.7045688733544795E-3</v>
      </c>
    </row>
    <row r="320" spans="1:13" ht="26" customHeight="1">
      <c r="A320" s="108" t="s">
        <v>930</v>
      </c>
      <c r="B320" s="108" t="s">
        <v>931</v>
      </c>
      <c r="C320" s="108" t="s">
        <v>35</v>
      </c>
      <c r="D320" s="108" t="s">
        <v>932</v>
      </c>
      <c r="E320" s="109" t="s">
        <v>63</v>
      </c>
      <c r="F320" s="110">
        <v>200</v>
      </c>
      <c r="G320" s="111">
        <v>28.82</v>
      </c>
      <c r="H320" s="111">
        <f>ROUND(J320/(1+$B$4),2)</f>
        <v>28.82</v>
      </c>
      <c r="I320" s="111">
        <f>TRUNC(TRUNC(G320 * B4, 2) + G320, 2)</f>
        <v>34.85</v>
      </c>
      <c r="J320" s="111">
        <f>TRUNC(L320/F320,4)</f>
        <v>34.85</v>
      </c>
      <c r="K320" s="111">
        <f t="shared" si="34"/>
        <v>6970</v>
      </c>
      <c r="L320" s="111">
        <f t="shared" si="35"/>
        <v>6970</v>
      </c>
      <c r="M320" s="112">
        <f>L320 / M428</f>
        <v>2.6325054529215621E-3</v>
      </c>
    </row>
    <row r="321" spans="1:13" ht="26" customHeight="1">
      <c r="A321" s="108" t="s">
        <v>933</v>
      </c>
      <c r="B321" s="108" t="s">
        <v>934</v>
      </c>
      <c r="C321" s="108" t="s">
        <v>389</v>
      </c>
      <c r="D321" s="108" t="s">
        <v>935</v>
      </c>
      <c r="E321" s="109" t="s">
        <v>63</v>
      </c>
      <c r="F321" s="110">
        <v>1</v>
      </c>
      <c r="G321" s="111">
        <v>27.03</v>
      </c>
      <c r="H321" s="111">
        <f>ROUND(J321/(1+$B$4),2)</f>
        <v>27.03</v>
      </c>
      <c r="I321" s="111">
        <f>TRUNC(TRUNC(G321 * B4, 2) + G321, 2)</f>
        <v>32.69</v>
      </c>
      <c r="J321" s="111">
        <f>TRUNC(L321/F321,4)</f>
        <v>32.69</v>
      </c>
      <c r="K321" s="111">
        <f t="shared" si="34"/>
        <v>32.69</v>
      </c>
      <c r="L321" s="111">
        <f t="shared" si="35"/>
        <v>32.69</v>
      </c>
      <c r="M321" s="112">
        <f>L321 / M428</f>
        <v>1.2346714957820066E-5</v>
      </c>
    </row>
    <row r="322" spans="1:13" ht="24" customHeight="1">
      <c r="A322" s="103" t="s">
        <v>936</v>
      </c>
      <c r="B322" s="103" t="s">
        <v>30</v>
      </c>
      <c r="C322" s="103"/>
      <c r="D322" s="103" t="s">
        <v>937</v>
      </c>
      <c r="E322" s="104"/>
      <c r="F322" s="105">
        <v>1</v>
      </c>
      <c r="G322" s="105" t="s">
        <v>31</v>
      </c>
      <c r="H322" s="105"/>
      <c r="I322" s="106">
        <f>K323 + K337 + K340</f>
        <v>56447.600000000006</v>
      </c>
      <c r="J322" s="106">
        <f>L323 + L337 + L340</f>
        <v>56447.600000000006</v>
      </c>
      <c r="K322" s="106">
        <f t="shared" si="34"/>
        <v>56447.6</v>
      </c>
      <c r="L322" s="106">
        <f t="shared" si="35"/>
        <v>56447.6</v>
      </c>
      <c r="M322" s="107">
        <f>L322 / M428</f>
        <v>2.1319743874366595E-2</v>
      </c>
    </row>
    <row r="323" spans="1:13" ht="24" customHeight="1">
      <c r="A323" s="103" t="s">
        <v>938</v>
      </c>
      <c r="B323" s="103" t="s">
        <v>30</v>
      </c>
      <c r="C323" s="103"/>
      <c r="D323" s="103" t="s">
        <v>297</v>
      </c>
      <c r="E323" s="104"/>
      <c r="F323" s="105">
        <v>1</v>
      </c>
      <c r="G323" s="105" t="s">
        <v>31</v>
      </c>
      <c r="H323" s="105"/>
      <c r="I323" s="106">
        <f>K324 + K325 + K326 + K327 + K328 + K329 + K330 + K331 + K332 + K333 + K334 + K335 + K336</f>
        <v>11227.359999999999</v>
      </c>
      <c r="J323" s="106">
        <f>L324 + L325 + L326 + L327 + L328 + L329 + L330 + L331 + L332 + L333 + L334 + L335 + L336</f>
        <v>11227.359999999999</v>
      </c>
      <c r="K323" s="106">
        <f t="shared" si="34"/>
        <v>11227.36</v>
      </c>
      <c r="L323" s="106">
        <f t="shared" si="35"/>
        <v>11227.36</v>
      </c>
      <c r="M323" s="107">
        <f>L323 / M428</f>
        <v>4.2404715096002058E-3</v>
      </c>
    </row>
    <row r="324" spans="1:13" ht="26" customHeight="1">
      <c r="A324" s="108" t="s">
        <v>939</v>
      </c>
      <c r="B324" s="108" t="s">
        <v>829</v>
      </c>
      <c r="C324" s="108" t="s">
        <v>389</v>
      </c>
      <c r="D324" s="108" t="s">
        <v>830</v>
      </c>
      <c r="E324" s="109" t="s">
        <v>63</v>
      </c>
      <c r="F324" s="110">
        <v>20</v>
      </c>
      <c r="G324" s="111">
        <v>38.29</v>
      </c>
      <c r="H324" s="111">
        <f t="shared" ref="H324:H336" si="40">ROUND(J324/(1+$B$4),2)</f>
        <v>38.28</v>
      </c>
      <c r="I324" s="111">
        <f>TRUNC(TRUNC(G324 * B4, 2) + G324, 2)</f>
        <v>46.3</v>
      </c>
      <c r="J324" s="111">
        <f t="shared" ref="J324:J336" si="41">TRUNC(L324/F324,4)</f>
        <v>46.3</v>
      </c>
      <c r="K324" s="111">
        <f t="shared" si="34"/>
        <v>926</v>
      </c>
      <c r="L324" s="111">
        <f t="shared" si="35"/>
        <v>926</v>
      </c>
      <c r="M324" s="112">
        <f>L324 / M428</f>
        <v>3.4974175744696792E-4</v>
      </c>
    </row>
    <row r="325" spans="1:13" ht="26" customHeight="1">
      <c r="A325" s="108" t="s">
        <v>940</v>
      </c>
      <c r="B325" s="108" t="s">
        <v>934</v>
      </c>
      <c r="C325" s="108" t="s">
        <v>389</v>
      </c>
      <c r="D325" s="108" t="s">
        <v>935</v>
      </c>
      <c r="E325" s="109" t="s">
        <v>63</v>
      </c>
      <c r="F325" s="110">
        <v>76</v>
      </c>
      <c r="G325" s="111">
        <v>27.03</v>
      </c>
      <c r="H325" s="111">
        <f t="shared" si="40"/>
        <v>27.03</v>
      </c>
      <c r="I325" s="111">
        <f>TRUNC(TRUNC(G325 * B4, 2) + G325, 2)</f>
        <v>32.69</v>
      </c>
      <c r="J325" s="111">
        <f t="shared" si="41"/>
        <v>32.69</v>
      </c>
      <c r="K325" s="111">
        <f t="shared" si="34"/>
        <v>2484.44</v>
      </c>
      <c r="L325" s="111">
        <f t="shared" si="35"/>
        <v>2484.44</v>
      </c>
      <c r="M325" s="112">
        <f>L325 / M428</f>
        <v>9.3835033679432508E-4</v>
      </c>
    </row>
    <row r="326" spans="1:13" ht="24" customHeight="1">
      <c r="A326" s="108" t="s">
        <v>941</v>
      </c>
      <c r="B326" s="108" t="s">
        <v>942</v>
      </c>
      <c r="C326" s="108" t="s">
        <v>389</v>
      </c>
      <c r="D326" s="108" t="s">
        <v>943</v>
      </c>
      <c r="E326" s="109" t="s">
        <v>36</v>
      </c>
      <c r="F326" s="110">
        <v>7</v>
      </c>
      <c r="G326" s="111">
        <v>36.4</v>
      </c>
      <c r="H326" s="111">
        <f t="shared" si="40"/>
        <v>36.4</v>
      </c>
      <c r="I326" s="111">
        <f>TRUNC(TRUNC(G326 * B4, 2) + G326, 2)</f>
        <v>44.02</v>
      </c>
      <c r="J326" s="111">
        <f t="shared" si="41"/>
        <v>44.02</v>
      </c>
      <c r="K326" s="111">
        <f t="shared" si="34"/>
        <v>308.14</v>
      </c>
      <c r="L326" s="111">
        <f t="shared" si="35"/>
        <v>308.14</v>
      </c>
      <c r="M326" s="112">
        <f>L326 / M428</f>
        <v>1.1638166861739601E-4</v>
      </c>
    </row>
    <row r="327" spans="1:13" ht="39" customHeight="1">
      <c r="A327" s="108" t="s">
        <v>944</v>
      </c>
      <c r="B327" s="108" t="s">
        <v>324</v>
      </c>
      <c r="C327" s="108" t="s">
        <v>48</v>
      </c>
      <c r="D327" s="108" t="s">
        <v>325</v>
      </c>
      <c r="E327" s="109" t="s">
        <v>63</v>
      </c>
      <c r="F327" s="110">
        <v>17</v>
      </c>
      <c r="G327" s="111">
        <v>9.1</v>
      </c>
      <c r="H327" s="111">
        <f t="shared" si="40"/>
        <v>9.1</v>
      </c>
      <c r="I327" s="111">
        <f>TRUNC(TRUNC(G327 * B4, 2) + G327, 2)</f>
        <v>11</v>
      </c>
      <c r="J327" s="111">
        <f t="shared" si="41"/>
        <v>11</v>
      </c>
      <c r="K327" s="111">
        <f t="shared" si="34"/>
        <v>187</v>
      </c>
      <c r="L327" s="111">
        <f t="shared" si="35"/>
        <v>187</v>
      </c>
      <c r="M327" s="112">
        <f>L327 / M428</f>
        <v>7.0628195078383381E-5</v>
      </c>
    </row>
    <row r="328" spans="1:13" ht="39" customHeight="1">
      <c r="A328" s="108" t="s">
        <v>945</v>
      </c>
      <c r="B328" s="108" t="s">
        <v>946</v>
      </c>
      <c r="C328" s="108" t="s">
        <v>48</v>
      </c>
      <c r="D328" s="108" t="s">
        <v>947</v>
      </c>
      <c r="E328" s="109" t="s">
        <v>63</v>
      </c>
      <c r="F328" s="110">
        <v>137.6</v>
      </c>
      <c r="G328" s="111">
        <v>16.809999999999999</v>
      </c>
      <c r="H328" s="111">
        <f t="shared" si="40"/>
        <v>16.809999999999999</v>
      </c>
      <c r="I328" s="111">
        <f>TRUNC(TRUNC(G328 * B4, 2) + G328, 2)</f>
        <v>20.329999999999998</v>
      </c>
      <c r="J328" s="111">
        <f t="shared" si="41"/>
        <v>20.329899999999999</v>
      </c>
      <c r="K328" s="111">
        <f t="shared" si="34"/>
        <v>2797.4</v>
      </c>
      <c r="L328" s="111">
        <f t="shared" si="35"/>
        <v>2797.4</v>
      </c>
      <c r="M328" s="112">
        <f>L328 / M428</f>
        <v>1.0565524754666826E-3</v>
      </c>
    </row>
    <row r="329" spans="1:13" ht="52" customHeight="1">
      <c r="A329" s="108" t="s">
        <v>948</v>
      </c>
      <c r="B329" s="108" t="s">
        <v>949</v>
      </c>
      <c r="C329" s="108" t="s">
        <v>35</v>
      </c>
      <c r="D329" s="108" t="s">
        <v>950</v>
      </c>
      <c r="E329" s="109" t="s">
        <v>63</v>
      </c>
      <c r="F329" s="110">
        <v>74.5</v>
      </c>
      <c r="G329" s="111">
        <v>26.16</v>
      </c>
      <c r="H329" s="111">
        <f t="shared" si="40"/>
        <v>26.15</v>
      </c>
      <c r="I329" s="111">
        <f>TRUNC(TRUNC(G329 * B4, 2) + G329, 2)</f>
        <v>31.63</v>
      </c>
      <c r="J329" s="111">
        <f t="shared" si="41"/>
        <v>31.629899999999999</v>
      </c>
      <c r="K329" s="111">
        <f t="shared" ref="K329:K392" si="42">TRUNC(F329 * I329,2)</f>
        <v>2356.4299999999998</v>
      </c>
      <c r="L329" s="111">
        <f t="shared" si="35"/>
        <v>2356.4299999999998</v>
      </c>
      <c r="M329" s="112">
        <f>L329 / M428</f>
        <v>8.9000212689066809E-4</v>
      </c>
    </row>
    <row r="330" spans="1:13" ht="39" customHeight="1">
      <c r="A330" s="108" t="s">
        <v>951</v>
      </c>
      <c r="B330" s="108" t="s">
        <v>952</v>
      </c>
      <c r="C330" s="108" t="s">
        <v>48</v>
      </c>
      <c r="D330" s="108" t="s">
        <v>953</v>
      </c>
      <c r="E330" s="109" t="s">
        <v>36</v>
      </c>
      <c r="F330" s="110">
        <v>40</v>
      </c>
      <c r="G330" s="111">
        <v>13.05</v>
      </c>
      <c r="H330" s="111">
        <f t="shared" si="40"/>
        <v>13.05</v>
      </c>
      <c r="I330" s="111">
        <f>TRUNC(TRUNC(G330 * B4, 2) + G330, 2)</f>
        <v>15.78</v>
      </c>
      <c r="J330" s="111">
        <f t="shared" si="41"/>
        <v>15.78</v>
      </c>
      <c r="K330" s="111">
        <f t="shared" si="42"/>
        <v>631.20000000000005</v>
      </c>
      <c r="L330" s="111">
        <f t="shared" ref="L330:L393" si="43">ROUND((1-$B$6) * K330,2)</f>
        <v>631.20000000000005</v>
      </c>
      <c r="M330" s="112">
        <f>L330 / M428</f>
        <v>2.3839848520575181E-4</v>
      </c>
    </row>
    <row r="331" spans="1:13" ht="52" customHeight="1">
      <c r="A331" s="108" t="s">
        <v>954</v>
      </c>
      <c r="B331" s="108" t="s">
        <v>955</v>
      </c>
      <c r="C331" s="108" t="s">
        <v>35</v>
      </c>
      <c r="D331" s="108" t="s">
        <v>956</v>
      </c>
      <c r="E331" s="109" t="s">
        <v>36</v>
      </c>
      <c r="F331" s="110">
        <v>20</v>
      </c>
      <c r="G331" s="111">
        <v>17.39</v>
      </c>
      <c r="H331" s="111">
        <f t="shared" si="40"/>
        <v>17.39</v>
      </c>
      <c r="I331" s="111">
        <f>TRUNC(TRUNC(G331 * B4, 2) + G331, 2)</f>
        <v>21.03</v>
      </c>
      <c r="J331" s="111">
        <f t="shared" si="41"/>
        <v>21.03</v>
      </c>
      <c r="K331" s="111">
        <f t="shared" si="42"/>
        <v>420.6</v>
      </c>
      <c r="L331" s="111">
        <f t="shared" si="43"/>
        <v>420.6</v>
      </c>
      <c r="M331" s="112">
        <f>L331 / M428</f>
        <v>1.5885678529394678E-4</v>
      </c>
    </row>
    <row r="332" spans="1:13" ht="39" customHeight="1">
      <c r="A332" s="108" t="s">
        <v>957</v>
      </c>
      <c r="B332" s="108" t="s">
        <v>958</v>
      </c>
      <c r="C332" s="108" t="s">
        <v>48</v>
      </c>
      <c r="D332" s="108" t="s">
        <v>959</v>
      </c>
      <c r="E332" s="109" t="s">
        <v>36</v>
      </c>
      <c r="F332" s="110">
        <v>6</v>
      </c>
      <c r="G332" s="111">
        <v>20.66</v>
      </c>
      <c r="H332" s="111">
        <f t="shared" si="40"/>
        <v>20.65</v>
      </c>
      <c r="I332" s="111">
        <f>TRUNC(TRUNC(G332 * B4, 2) + G332, 2)</f>
        <v>24.98</v>
      </c>
      <c r="J332" s="111">
        <f t="shared" si="41"/>
        <v>24.98</v>
      </c>
      <c r="K332" s="111">
        <f t="shared" si="42"/>
        <v>149.88</v>
      </c>
      <c r="L332" s="111">
        <f t="shared" si="43"/>
        <v>149.88</v>
      </c>
      <c r="M332" s="112">
        <f>L332 / M428</f>
        <v>5.660830950988289E-5</v>
      </c>
    </row>
    <row r="333" spans="1:13" ht="26" customHeight="1">
      <c r="A333" s="108" t="s">
        <v>960</v>
      </c>
      <c r="B333" s="108" t="s">
        <v>961</v>
      </c>
      <c r="C333" s="108" t="s">
        <v>48</v>
      </c>
      <c r="D333" s="108" t="s">
        <v>962</v>
      </c>
      <c r="E333" s="109" t="s">
        <v>36</v>
      </c>
      <c r="F333" s="110">
        <v>1</v>
      </c>
      <c r="G333" s="111">
        <v>40.74</v>
      </c>
      <c r="H333" s="111">
        <f t="shared" si="40"/>
        <v>40.74</v>
      </c>
      <c r="I333" s="111">
        <f>TRUNC(TRUNC(G333 * B4, 2) + G333, 2)</f>
        <v>49.27</v>
      </c>
      <c r="J333" s="111">
        <f t="shared" si="41"/>
        <v>49.27</v>
      </c>
      <c r="K333" s="111">
        <f t="shared" si="42"/>
        <v>49.27</v>
      </c>
      <c r="L333" s="111">
        <f t="shared" si="43"/>
        <v>49.27</v>
      </c>
      <c r="M333" s="112">
        <f>L333 / M428</f>
        <v>1.8608829794181547E-5</v>
      </c>
    </row>
    <row r="334" spans="1:13" ht="39" customHeight="1">
      <c r="A334" s="108" t="s">
        <v>963</v>
      </c>
      <c r="B334" s="108" t="s">
        <v>322</v>
      </c>
      <c r="C334" s="108" t="s">
        <v>48</v>
      </c>
      <c r="D334" s="108" t="s">
        <v>323</v>
      </c>
      <c r="E334" s="109" t="s">
        <v>36</v>
      </c>
      <c r="F334" s="110">
        <v>4</v>
      </c>
      <c r="G334" s="111">
        <v>147.35</v>
      </c>
      <c r="H334" s="111">
        <f t="shared" si="40"/>
        <v>147.35</v>
      </c>
      <c r="I334" s="111">
        <f>TRUNC(TRUNC(G334 * B4, 2) + G334, 2)</f>
        <v>178.2</v>
      </c>
      <c r="J334" s="111">
        <f t="shared" si="41"/>
        <v>178.2</v>
      </c>
      <c r="K334" s="111">
        <f t="shared" si="42"/>
        <v>712.8</v>
      </c>
      <c r="L334" s="111">
        <f t="shared" si="43"/>
        <v>712.8</v>
      </c>
      <c r="M334" s="112">
        <f>L334 / M428</f>
        <v>2.6921806123995543E-4</v>
      </c>
    </row>
    <row r="335" spans="1:13" ht="26" customHeight="1">
      <c r="A335" s="108" t="s">
        <v>964</v>
      </c>
      <c r="B335" s="108" t="s">
        <v>247</v>
      </c>
      <c r="C335" s="108" t="s">
        <v>48</v>
      </c>
      <c r="D335" s="108" t="s">
        <v>597</v>
      </c>
      <c r="E335" s="109" t="s">
        <v>70</v>
      </c>
      <c r="F335" s="110">
        <v>1.36</v>
      </c>
      <c r="G335" s="111">
        <v>98.65</v>
      </c>
      <c r="H335" s="111">
        <f t="shared" si="40"/>
        <v>98.64</v>
      </c>
      <c r="I335" s="111">
        <f>TRUNC(TRUNC(G335 * B4, 2) + G335, 2)</f>
        <v>119.3</v>
      </c>
      <c r="J335" s="111">
        <f t="shared" si="41"/>
        <v>119.2941</v>
      </c>
      <c r="K335" s="111">
        <f t="shared" si="42"/>
        <v>162.24</v>
      </c>
      <c r="L335" s="111">
        <f t="shared" si="43"/>
        <v>162.24</v>
      </c>
      <c r="M335" s="112">
        <f>L335 / M428</f>
        <v>6.1276568820946089E-5</v>
      </c>
    </row>
    <row r="336" spans="1:13" ht="26" customHeight="1">
      <c r="A336" s="108" t="s">
        <v>965</v>
      </c>
      <c r="B336" s="108" t="s">
        <v>249</v>
      </c>
      <c r="C336" s="108" t="s">
        <v>48</v>
      </c>
      <c r="D336" s="108" t="s">
        <v>250</v>
      </c>
      <c r="E336" s="109" t="s">
        <v>70</v>
      </c>
      <c r="F336" s="110">
        <v>1.22</v>
      </c>
      <c r="G336" s="111">
        <v>28.45</v>
      </c>
      <c r="H336" s="111">
        <f t="shared" si="40"/>
        <v>28.44</v>
      </c>
      <c r="I336" s="111">
        <f>TRUNC(TRUNC(G336 * B4, 2) + G336, 2)</f>
        <v>34.4</v>
      </c>
      <c r="J336" s="111">
        <f t="shared" si="41"/>
        <v>34.3934</v>
      </c>
      <c r="K336" s="111">
        <f t="shared" si="42"/>
        <v>41.96</v>
      </c>
      <c r="L336" s="111">
        <f t="shared" si="43"/>
        <v>41.96</v>
      </c>
      <c r="M336" s="112">
        <f>L336 / M428</f>
        <v>1.5847909441117468E-5</v>
      </c>
    </row>
    <row r="337" spans="1:13" ht="24" customHeight="1">
      <c r="A337" s="103" t="s">
        <v>966</v>
      </c>
      <c r="B337" s="103" t="s">
        <v>30</v>
      </c>
      <c r="C337" s="103"/>
      <c r="D337" s="103" t="s">
        <v>352</v>
      </c>
      <c r="E337" s="104"/>
      <c r="F337" s="105">
        <v>1</v>
      </c>
      <c r="G337" s="105" t="s">
        <v>31</v>
      </c>
      <c r="H337" s="105"/>
      <c r="I337" s="106">
        <f>K338 + K339</f>
        <v>6862.7599999999993</v>
      </c>
      <c r="J337" s="106">
        <f>L338 + L339</f>
        <v>6862.7599999999993</v>
      </c>
      <c r="K337" s="106">
        <f t="shared" si="42"/>
        <v>6862.76</v>
      </c>
      <c r="L337" s="106">
        <f t="shared" si="43"/>
        <v>6862.76</v>
      </c>
      <c r="M337" s="107">
        <f>L337 / M428</f>
        <v>2.5920018826530817E-3</v>
      </c>
    </row>
    <row r="338" spans="1:13" ht="39" customHeight="1">
      <c r="A338" s="108" t="s">
        <v>967</v>
      </c>
      <c r="B338" s="108" t="s">
        <v>968</v>
      </c>
      <c r="C338" s="108" t="s">
        <v>35</v>
      </c>
      <c r="D338" s="108" t="s">
        <v>969</v>
      </c>
      <c r="E338" s="109" t="s">
        <v>63</v>
      </c>
      <c r="F338" s="110">
        <v>1340</v>
      </c>
      <c r="G338" s="111">
        <v>3.73</v>
      </c>
      <c r="H338" s="111">
        <f>ROUND(J338/(1+$B$4),2)</f>
        <v>3.73</v>
      </c>
      <c r="I338" s="111">
        <f>TRUNC(TRUNC(G338 * B4, 2) + G338, 2)</f>
        <v>4.51</v>
      </c>
      <c r="J338" s="111">
        <f>TRUNC(L338/F338,4)</f>
        <v>4.51</v>
      </c>
      <c r="K338" s="111">
        <f t="shared" si="42"/>
        <v>6043.4</v>
      </c>
      <c r="L338" s="111">
        <f t="shared" si="43"/>
        <v>6043.4</v>
      </c>
      <c r="M338" s="112">
        <f>L338 / M428</f>
        <v>2.2825370809449307E-3</v>
      </c>
    </row>
    <row r="339" spans="1:13" ht="26" customHeight="1">
      <c r="A339" s="108" t="s">
        <v>970</v>
      </c>
      <c r="B339" s="108" t="s">
        <v>971</v>
      </c>
      <c r="C339" s="108" t="s">
        <v>35</v>
      </c>
      <c r="D339" s="108" t="s">
        <v>972</v>
      </c>
      <c r="E339" s="109" t="s">
        <v>36</v>
      </c>
      <c r="F339" s="110">
        <v>48</v>
      </c>
      <c r="G339" s="111">
        <v>14.12</v>
      </c>
      <c r="H339" s="111">
        <f>ROUND(J339/(1+$B$4),2)</f>
        <v>14.11</v>
      </c>
      <c r="I339" s="111">
        <f>TRUNC(TRUNC(G339 * B4, 2) + G339, 2)</f>
        <v>17.07</v>
      </c>
      <c r="J339" s="111">
        <f>TRUNC(L339/F339,4)</f>
        <v>17.07</v>
      </c>
      <c r="K339" s="111">
        <f t="shared" si="42"/>
        <v>819.36</v>
      </c>
      <c r="L339" s="111">
        <f t="shared" si="43"/>
        <v>819.36</v>
      </c>
      <c r="M339" s="112">
        <f>L339 / M428</f>
        <v>3.0946480170815084E-4</v>
      </c>
    </row>
    <row r="340" spans="1:13" ht="24" customHeight="1">
      <c r="A340" s="103" t="s">
        <v>973</v>
      </c>
      <c r="B340" s="103" t="s">
        <v>30</v>
      </c>
      <c r="C340" s="103"/>
      <c r="D340" s="103" t="s">
        <v>974</v>
      </c>
      <c r="E340" s="104"/>
      <c r="F340" s="105">
        <v>1</v>
      </c>
      <c r="G340" s="105" t="s">
        <v>31</v>
      </c>
      <c r="H340" s="105"/>
      <c r="I340" s="106">
        <f>K341 + K342 + K343 + K344 + K345 + K346</f>
        <v>38357.479999999996</v>
      </c>
      <c r="J340" s="106">
        <f>L341 + L342 + L343 + L344 + L345 + L346</f>
        <v>38357.479999999996</v>
      </c>
      <c r="K340" s="106">
        <f t="shared" si="42"/>
        <v>38357.480000000003</v>
      </c>
      <c r="L340" s="106">
        <f t="shared" si="43"/>
        <v>38357.480000000003</v>
      </c>
      <c r="M340" s="107">
        <f>L340 / M428</f>
        <v>1.4487270482113311E-2</v>
      </c>
    </row>
    <row r="341" spans="1:13" ht="26" customHeight="1">
      <c r="A341" s="108" t="s">
        <v>975</v>
      </c>
      <c r="B341" s="108" t="s">
        <v>976</v>
      </c>
      <c r="C341" s="108" t="s">
        <v>35</v>
      </c>
      <c r="D341" s="108" t="s">
        <v>977</v>
      </c>
      <c r="E341" s="109" t="s">
        <v>36</v>
      </c>
      <c r="F341" s="110">
        <v>1</v>
      </c>
      <c r="G341" s="111">
        <v>598.78</v>
      </c>
      <c r="H341" s="111">
        <f t="shared" ref="H341:H346" si="44">ROUND(J341/(1+$B$4),2)</f>
        <v>598.78</v>
      </c>
      <c r="I341" s="111">
        <f>TRUNC(TRUNC(G341 * B4, 2) + G341, 2)</f>
        <v>724.16</v>
      </c>
      <c r="J341" s="111">
        <f t="shared" ref="J341:J346" si="45">TRUNC(L341/F341,4)</f>
        <v>724.16</v>
      </c>
      <c r="K341" s="111">
        <f t="shared" si="42"/>
        <v>724.16</v>
      </c>
      <c r="L341" s="111">
        <f t="shared" si="43"/>
        <v>724.16</v>
      </c>
      <c r="M341" s="112">
        <f>L341 / M428</f>
        <v>2.7350862966824652E-4</v>
      </c>
    </row>
    <row r="342" spans="1:13" ht="39" customHeight="1">
      <c r="A342" s="108" t="s">
        <v>978</v>
      </c>
      <c r="B342" s="108" t="s">
        <v>979</v>
      </c>
      <c r="C342" s="108" t="s">
        <v>35</v>
      </c>
      <c r="D342" s="108" t="s">
        <v>980</v>
      </c>
      <c r="E342" s="109" t="s">
        <v>36</v>
      </c>
      <c r="F342" s="110">
        <v>1</v>
      </c>
      <c r="G342" s="111">
        <v>2547.66</v>
      </c>
      <c r="H342" s="111">
        <f t="shared" si="44"/>
        <v>2547.66</v>
      </c>
      <c r="I342" s="111">
        <f>TRUNC(TRUNC(G342 * B4, 2) + G342, 2)</f>
        <v>3081.14</v>
      </c>
      <c r="J342" s="111">
        <f t="shared" si="45"/>
        <v>3081.14</v>
      </c>
      <c r="K342" s="111">
        <f t="shared" si="42"/>
        <v>3081.14</v>
      </c>
      <c r="L342" s="111">
        <f t="shared" si="43"/>
        <v>3081.14</v>
      </c>
      <c r="M342" s="112">
        <f>L342 / M428</f>
        <v>1.1637184865444393E-3</v>
      </c>
    </row>
    <row r="343" spans="1:13" ht="39" customHeight="1">
      <c r="A343" s="108" t="s">
        <v>981</v>
      </c>
      <c r="B343" s="108" t="s">
        <v>982</v>
      </c>
      <c r="C343" s="108" t="s">
        <v>35</v>
      </c>
      <c r="D343" s="108" t="s">
        <v>983</v>
      </c>
      <c r="E343" s="109" t="s">
        <v>36</v>
      </c>
      <c r="F343" s="110">
        <v>24</v>
      </c>
      <c r="G343" s="111">
        <v>793.91</v>
      </c>
      <c r="H343" s="111">
        <f t="shared" si="44"/>
        <v>793.91</v>
      </c>
      <c r="I343" s="111">
        <f>TRUNC(TRUNC(G343 * B4, 2) + G343, 2)</f>
        <v>960.15</v>
      </c>
      <c r="J343" s="111">
        <f t="shared" si="45"/>
        <v>960.15</v>
      </c>
      <c r="K343" s="111">
        <f t="shared" si="42"/>
        <v>23043.599999999999</v>
      </c>
      <c r="L343" s="111">
        <f t="shared" si="43"/>
        <v>23043.599999999999</v>
      </c>
      <c r="M343" s="112">
        <f>L343 / M428</f>
        <v>8.7033576262472469E-3</v>
      </c>
    </row>
    <row r="344" spans="1:13" ht="78" customHeight="1">
      <c r="A344" s="108" t="s">
        <v>984</v>
      </c>
      <c r="B344" s="108" t="s">
        <v>985</v>
      </c>
      <c r="C344" s="108" t="s">
        <v>35</v>
      </c>
      <c r="D344" s="108" t="s">
        <v>986</v>
      </c>
      <c r="E344" s="109" t="s">
        <v>36</v>
      </c>
      <c r="F344" s="110">
        <v>3</v>
      </c>
      <c r="G344" s="111">
        <v>1016.9</v>
      </c>
      <c r="H344" s="111">
        <f t="shared" si="44"/>
        <v>1016.89</v>
      </c>
      <c r="I344" s="111">
        <f>TRUNC(TRUNC(G344 * B4, 2) + G344, 2)</f>
        <v>1229.83</v>
      </c>
      <c r="J344" s="111">
        <f t="shared" si="45"/>
        <v>1229.83</v>
      </c>
      <c r="K344" s="111">
        <f t="shared" si="42"/>
        <v>3689.49</v>
      </c>
      <c r="L344" s="111">
        <f t="shared" si="43"/>
        <v>3689.49</v>
      </c>
      <c r="M344" s="112">
        <f>L344 / M428</f>
        <v>1.3934867350788485E-3</v>
      </c>
    </row>
    <row r="345" spans="1:13" ht="26" customHeight="1">
      <c r="A345" s="108" t="s">
        <v>987</v>
      </c>
      <c r="B345" s="108" t="s">
        <v>988</v>
      </c>
      <c r="C345" s="108" t="s">
        <v>35</v>
      </c>
      <c r="D345" s="108" t="s">
        <v>989</v>
      </c>
      <c r="E345" s="109" t="s">
        <v>240</v>
      </c>
      <c r="F345" s="110">
        <v>2</v>
      </c>
      <c r="G345" s="111">
        <v>1431.99</v>
      </c>
      <c r="H345" s="111">
        <f t="shared" si="44"/>
        <v>1431.98</v>
      </c>
      <c r="I345" s="111">
        <f>TRUNC(TRUNC(G345 * B4, 2) + G345, 2)</f>
        <v>1731.84</v>
      </c>
      <c r="J345" s="111">
        <f t="shared" si="45"/>
        <v>1731.84</v>
      </c>
      <c r="K345" s="111">
        <f t="shared" si="42"/>
        <v>3463.68</v>
      </c>
      <c r="L345" s="111">
        <f t="shared" si="43"/>
        <v>3463.68</v>
      </c>
      <c r="M345" s="112">
        <f>L345 / M428</f>
        <v>1.3082003568400799E-3</v>
      </c>
    </row>
    <row r="346" spans="1:13" ht="24" customHeight="1">
      <c r="A346" s="113" t="s">
        <v>990</v>
      </c>
      <c r="B346" s="113" t="s">
        <v>991</v>
      </c>
      <c r="C346" s="113" t="s">
        <v>35</v>
      </c>
      <c r="D346" s="113" t="s">
        <v>992</v>
      </c>
      <c r="E346" s="114" t="s">
        <v>36</v>
      </c>
      <c r="F346" s="115">
        <v>1</v>
      </c>
      <c r="G346" s="116">
        <v>3601.3</v>
      </c>
      <c r="H346" s="116">
        <f t="shared" si="44"/>
        <v>3601.3</v>
      </c>
      <c r="I346" s="116">
        <f>TRUNC(TRUNC(G346 * B4, 2) + G346, 2)</f>
        <v>4355.41</v>
      </c>
      <c r="J346" s="116">
        <f t="shared" si="45"/>
        <v>4355.41</v>
      </c>
      <c r="K346" s="116">
        <f t="shared" si="42"/>
        <v>4355.41</v>
      </c>
      <c r="L346" s="116">
        <f t="shared" si="43"/>
        <v>4355.41</v>
      </c>
      <c r="M346" s="117">
        <f>L346 / M428</f>
        <v>1.6449986477344478E-3</v>
      </c>
    </row>
    <row r="347" spans="1:13" ht="26" customHeight="1">
      <c r="A347" s="103" t="s">
        <v>16</v>
      </c>
      <c r="B347" s="103" t="s">
        <v>30</v>
      </c>
      <c r="C347" s="103"/>
      <c r="D347" s="103" t="s">
        <v>441</v>
      </c>
      <c r="E347" s="104"/>
      <c r="F347" s="105">
        <v>1</v>
      </c>
      <c r="G347" s="105" t="s">
        <v>31</v>
      </c>
      <c r="H347" s="105"/>
      <c r="I347" s="106">
        <f>K348 + K353</f>
        <v>30760.25</v>
      </c>
      <c r="J347" s="106">
        <f>L348 + L353</f>
        <v>30760.25</v>
      </c>
      <c r="K347" s="106">
        <f t="shared" si="42"/>
        <v>30760.25</v>
      </c>
      <c r="L347" s="106">
        <f t="shared" si="43"/>
        <v>30760.25</v>
      </c>
      <c r="M347" s="107">
        <f>L347 / M428</f>
        <v>1.16178659767906E-2</v>
      </c>
    </row>
    <row r="348" spans="1:13" ht="24" customHeight="1">
      <c r="A348" s="103" t="s">
        <v>359</v>
      </c>
      <c r="B348" s="103" t="s">
        <v>30</v>
      </c>
      <c r="C348" s="103"/>
      <c r="D348" s="103" t="s">
        <v>993</v>
      </c>
      <c r="E348" s="104"/>
      <c r="F348" s="105">
        <v>1</v>
      </c>
      <c r="G348" s="105" t="s">
        <v>31</v>
      </c>
      <c r="H348" s="105"/>
      <c r="I348" s="106">
        <f>K349 + K350 + K351 + K352</f>
        <v>2428.8099999999995</v>
      </c>
      <c r="J348" s="106">
        <f>L349 + L350 + L351 + L352</f>
        <v>2428.8099999999995</v>
      </c>
      <c r="K348" s="106">
        <f t="shared" si="42"/>
        <v>2428.81</v>
      </c>
      <c r="L348" s="106">
        <f t="shared" si="43"/>
        <v>2428.81</v>
      </c>
      <c r="M348" s="107">
        <f>L348 / M428</f>
        <v>9.1733939298571296E-4</v>
      </c>
    </row>
    <row r="349" spans="1:13" ht="39" customHeight="1">
      <c r="A349" s="108" t="s">
        <v>360</v>
      </c>
      <c r="B349" s="108" t="s">
        <v>371</v>
      </c>
      <c r="C349" s="108" t="s">
        <v>48</v>
      </c>
      <c r="D349" s="108" t="s">
        <v>372</v>
      </c>
      <c r="E349" s="109" t="s">
        <v>36</v>
      </c>
      <c r="F349" s="110">
        <v>4</v>
      </c>
      <c r="G349" s="111">
        <v>267.56</v>
      </c>
      <c r="H349" s="111">
        <f>ROUND(J349/(1+$B$4),2)</f>
        <v>267.55</v>
      </c>
      <c r="I349" s="111">
        <f>TRUNC(TRUNC(G349 * B4, 2) + G349, 2)</f>
        <v>323.58</v>
      </c>
      <c r="J349" s="111">
        <f>TRUNC(L349/F349,4)</f>
        <v>323.58</v>
      </c>
      <c r="K349" s="111">
        <f t="shared" si="42"/>
        <v>1294.32</v>
      </c>
      <c r="L349" s="111">
        <f t="shared" si="43"/>
        <v>1294.32</v>
      </c>
      <c r="M349" s="112">
        <f>L349 / M428</f>
        <v>4.8885286338958911E-4</v>
      </c>
    </row>
    <row r="350" spans="1:13" ht="52" customHeight="1">
      <c r="A350" s="108" t="s">
        <v>361</v>
      </c>
      <c r="B350" s="108" t="s">
        <v>374</v>
      </c>
      <c r="C350" s="108" t="s">
        <v>35</v>
      </c>
      <c r="D350" s="108" t="s">
        <v>375</v>
      </c>
      <c r="E350" s="109" t="s">
        <v>239</v>
      </c>
      <c r="F350" s="110">
        <v>4</v>
      </c>
      <c r="G350" s="111">
        <v>33.89</v>
      </c>
      <c r="H350" s="111">
        <f>ROUND(J350/(1+$B$4),2)</f>
        <v>33.880000000000003</v>
      </c>
      <c r="I350" s="111">
        <f>TRUNC(TRUNC(G350 * B4, 2) + G350, 2)</f>
        <v>40.98</v>
      </c>
      <c r="J350" s="111">
        <f>TRUNC(L350/F350,4)</f>
        <v>40.98</v>
      </c>
      <c r="K350" s="111">
        <f t="shared" si="42"/>
        <v>163.92</v>
      </c>
      <c r="L350" s="111">
        <f t="shared" si="43"/>
        <v>163.92</v>
      </c>
      <c r="M350" s="112">
        <f>L350 / M428</f>
        <v>6.1911089504003219E-5</v>
      </c>
    </row>
    <row r="351" spans="1:13" ht="52" customHeight="1">
      <c r="A351" s="108" t="s">
        <v>362</v>
      </c>
      <c r="B351" s="108" t="s">
        <v>994</v>
      </c>
      <c r="C351" s="108" t="s">
        <v>35</v>
      </c>
      <c r="D351" s="108" t="s">
        <v>995</v>
      </c>
      <c r="E351" s="109" t="s">
        <v>239</v>
      </c>
      <c r="F351" s="110">
        <v>11</v>
      </c>
      <c r="G351" s="111">
        <v>51.59</v>
      </c>
      <c r="H351" s="111">
        <f>ROUND(J351/(1+$B$4),2)</f>
        <v>51.59</v>
      </c>
      <c r="I351" s="111">
        <f>TRUNC(TRUNC(G351 * B4, 2) + G351, 2)</f>
        <v>62.39</v>
      </c>
      <c r="J351" s="111">
        <f>TRUNC(L351/F351,4)</f>
        <v>62.39</v>
      </c>
      <c r="K351" s="111">
        <f t="shared" si="42"/>
        <v>686.29</v>
      </c>
      <c r="L351" s="111">
        <f t="shared" si="43"/>
        <v>686.29</v>
      </c>
      <c r="M351" s="112">
        <f>L351 / M428</f>
        <v>2.5920547593766697E-4</v>
      </c>
    </row>
    <row r="352" spans="1:13" ht="39" customHeight="1">
      <c r="A352" s="108" t="s">
        <v>363</v>
      </c>
      <c r="B352" s="108" t="s">
        <v>373</v>
      </c>
      <c r="C352" s="108" t="s">
        <v>48</v>
      </c>
      <c r="D352" s="108" t="s">
        <v>996</v>
      </c>
      <c r="E352" s="109" t="s">
        <v>36</v>
      </c>
      <c r="F352" s="110">
        <v>12</v>
      </c>
      <c r="G352" s="111">
        <v>19.59</v>
      </c>
      <c r="H352" s="111">
        <f>ROUND(J352/(1+$B$4),2)</f>
        <v>19.59</v>
      </c>
      <c r="I352" s="111">
        <f>TRUNC(TRUNC(G352 * B4, 2) + G352, 2)</f>
        <v>23.69</v>
      </c>
      <c r="J352" s="111">
        <f>TRUNC(L352/F352,4)</f>
        <v>23.69</v>
      </c>
      <c r="K352" s="111">
        <f t="shared" si="42"/>
        <v>284.27999999999997</v>
      </c>
      <c r="L352" s="111">
        <f t="shared" si="43"/>
        <v>284.27999999999997</v>
      </c>
      <c r="M352" s="112">
        <f>L352 / M428</f>
        <v>1.073699641544536E-4</v>
      </c>
    </row>
    <row r="353" spans="1:13" ht="24" customHeight="1">
      <c r="A353" s="103" t="s">
        <v>364</v>
      </c>
      <c r="B353" s="103" t="s">
        <v>30</v>
      </c>
      <c r="C353" s="103"/>
      <c r="D353" s="103" t="s">
        <v>997</v>
      </c>
      <c r="E353" s="104"/>
      <c r="F353" s="105">
        <v>1</v>
      </c>
      <c r="G353" s="105" t="s">
        <v>31</v>
      </c>
      <c r="H353" s="105"/>
      <c r="I353" s="106">
        <f>K354 + K362 + K374 + K383 + K390</f>
        <v>28331.439999999999</v>
      </c>
      <c r="J353" s="106">
        <f>L354 + L362 + L374 + L383 + L390</f>
        <v>28331.439999999999</v>
      </c>
      <c r="K353" s="106">
        <f t="shared" si="42"/>
        <v>28331.439999999999</v>
      </c>
      <c r="L353" s="106">
        <f t="shared" si="43"/>
        <v>28331.439999999999</v>
      </c>
      <c r="M353" s="107">
        <f>L353 / M428</f>
        <v>1.0700526583804887E-2</v>
      </c>
    </row>
    <row r="354" spans="1:13" ht="24" customHeight="1">
      <c r="A354" s="103" t="s">
        <v>365</v>
      </c>
      <c r="B354" s="103" t="s">
        <v>30</v>
      </c>
      <c r="C354" s="103"/>
      <c r="D354" s="103" t="s">
        <v>998</v>
      </c>
      <c r="E354" s="104"/>
      <c r="F354" s="105">
        <v>1</v>
      </c>
      <c r="G354" s="105" t="s">
        <v>31</v>
      </c>
      <c r="H354" s="105"/>
      <c r="I354" s="106">
        <f>K355 + K356 + K357 + K358 + K359 + K360 + K361</f>
        <v>5747.98</v>
      </c>
      <c r="J354" s="106">
        <f>L355 + L356 + L357 + L358 + L359 + L360 + L361</f>
        <v>5747.98</v>
      </c>
      <c r="K354" s="106">
        <f t="shared" si="42"/>
        <v>5747.98</v>
      </c>
      <c r="L354" s="106">
        <f t="shared" si="43"/>
        <v>5747.98</v>
      </c>
      <c r="M354" s="107">
        <f>L354 / M428</f>
        <v>2.170959640356396E-3</v>
      </c>
    </row>
    <row r="355" spans="1:13" ht="52" customHeight="1">
      <c r="A355" s="108" t="s">
        <v>999</v>
      </c>
      <c r="B355" s="108" t="s">
        <v>1000</v>
      </c>
      <c r="C355" s="108" t="s">
        <v>48</v>
      </c>
      <c r="D355" s="108" t="s">
        <v>1001</v>
      </c>
      <c r="E355" s="109" t="s">
        <v>63</v>
      </c>
      <c r="F355" s="110">
        <v>3.2</v>
      </c>
      <c r="G355" s="111">
        <v>144.75</v>
      </c>
      <c r="H355" s="111">
        <f t="shared" ref="H355:H361" si="46">ROUND(J355/(1+$B$4),2)</f>
        <v>144.75</v>
      </c>
      <c r="I355" s="111">
        <f>TRUNC(TRUNC(G355 * B4, 2) + G355, 2)</f>
        <v>175.06</v>
      </c>
      <c r="J355" s="111">
        <f t="shared" ref="J355:J361" si="47">TRUNC(L355/F355,4)</f>
        <v>175.05930000000001</v>
      </c>
      <c r="K355" s="111">
        <f t="shared" si="42"/>
        <v>560.19000000000005</v>
      </c>
      <c r="L355" s="111">
        <f t="shared" si="43"/>
        <v>560.19000000000005</v>
      </c>
      <c r="M355" s="112">
        <f>L355 / M428</f>
        <v>2.1157865562010475E-4</v>
      </c>
    </row>
    <row r="356" spans="1:13" ht="39" customHeight="1">
      <c r="A356" s="108" t="s">
        <v>1002</v>
      </c>
      <c r="B356" s="108" t="s">
        <v>1003</v>
      </c>
      <c r="C356" s="108" t="s">
        <v>48</v>
      </c>
      <c r="D356" s="108" t="s">
        <v>1004</v>
      </c>
      <c r="E356" s="109" t="s">
        <v>36</v>
      </c>
      <c r="F356" s="110">
        <v>2</v>
      </c>
      <c r="G356" s="111">
        <v>272.18</v>
      </c>
      <c r="H356" s="111">
        <f t="shared" si="46"/>
        <v>272.18</v>
      </c>
      <c r="I356" s="111">
        <f>TRUNC(TRUNC(G356 * B4, 2) + G356, 2)</f>
        <v>329.17</v>
      </c>
      <c r="J356" s="111">
        <f t="shared" si="47"/>
        <v>329.17</v>
      </c>
      <c r="K356" s="111">
        <f t="shared" si="42"/>
        <v>658.34</v>
      </c>
      <c r="L356" s="111">
        <f t="shared" si="43"/>
        <v>658.34</v>
      </c>
      <c r="M356" s="112">
        <f>L356 / M428</f>
        <v>2.4864901576418671E-4</v>
      </c>
    </row>
    <row r="357" spans="1:13" ht="65" customHeight="1">
      <c r="A357" s="108" t="s">
        <v>1005</v>
      </c>
      <c r="B357" s="108" t="s">
        <v>1006</v>
      </c>
      <c r="C357" s="108" t="s">
        <v>35</v>
      </c>
      <c r="D357" s="108" t="s">
        <v>1007</v>
      </c>
      <c r="E357" s="109" t="s">
        <v>36</v>
      </c>
      <c r="F357" s="110">
        <v>1</v>
      </c>
      <c r="G357" s="111">
        <v>300.45999999999998</v>
      </c>
      <c r="H357" s="111">
        <f t="shared" si="46"/>
        <v>300.45</v>
      </c>
      <c r="I357" s="111">
        <f>TRUNC(TRUNC(G357 * B4, 2) + G357, 2)</f>
        <v>363.37</v>
      </c>
      <c r="J357" s="111">
        <f t="shared" si="47"/>
        <v>363.37</v>
      </c>
      <c r="K357" s="111">
        <f t="shared" si="42"/>
        <v>363.37</v>
      </c>
      <c r="L357" s="111">
        <f t="shared" si="43"/>
        <v>363.37</v>
      </c>
      <c r="M357" s="112">
        <f>L357 / M428</f>
        <v>1.3724153607289928E-4</v>
      </c>
    </row>
    <row r="358" spans="1:13" ht="52" customHeight="1">
      <c r="A358" s="108" t="s">
        <v>1008</v>
      </c>
      <c r="B358" s="108" t="s">
        <v>1009</v>
      </c>
      <c r="C358" s="108" t="s">
        <v>48</v>
      </c>
      <c r="D358" s="108" t="s">
        <v>1010</v>
      </c>
      <c r="E358" s="109" t="s">
        <v>36</v>
      </c>
      <c r="F358" s="110">
        <v>2</v>
      </c>
      <c r="G358" s="111">
        <v>303.06</v>
      </c>
      <c r="H358" s="111">
        <f t="shared" si="46"/>
        <v>303.06</v>
      </c>
      <c r="I358" s="111">
        <f>TRUNC(TRUNC(G358 * B4, 2) + G358, 2)</f>
        <v>366.52</v>
      </c>
      <c r="J358" s="111">
        <f t="shared" si="47"/>
        <v>366.52</v>
      </c>
      <c r="K358" s="111">
        <f t="shared" si="42"/>
        <v>733.04</v>
      </c>
      <c r="L358" s="111">
        <f t="shared" si="43"/>
        <v>733.04</v>
      </c>
      <c r="M358" s="112">
        <f>L358 / M428</f>
        <v>2.7686252470726283E-4</v>
      </c>
    </row>
    <row r="359" spans="1:13" ht="26" customHeight="1">
      <c r="A359" s="108" t="s">
        <v>1011</v>
      </c>
      <c r="B359" s="108" t="s">
        <v>1012</v>
      </c>
      <c r="C359" s="108" t="s">
        <v>48</v>
      </c>
      <c r="D359" s="108" t="s">
        <v>1013</v>
      </c>
      <c r="E359" s="109" t="s">
        <v>36</v>
      </c>
      <c r="F359" s="110">
        <v>2</v>
      </c>
      <c r="G359" s="111">
        <v>363.75</v>
      </c>
      <c r="H359" s="111">
        <f t="shared" si="46"/>
        <v>363.74</v>
      </c>
      <c r="I359" s="111">
        <f>TRUNC(TRUNC(G359 * B4, 2) + G359, 2)</f>
        <v>439.91</v>
      </c>
      <c r="J359" s="111">
        <f t="shared" si="47"/>
        <v>439.91</v>
      </c>
      <c r="K359" s="111">
        <f t="shared" si="42"/>
        <v>879.82</v>
      </c>
      <c r="L359" s="111">
        <f t="shared" si="43"/>
        <v>879.82</v>
      </c>
      <c r="M359" s="112">
        <f>L359 / M428</f>
        <v>3.3229999248055221E-4</v>
      </c>
    </row>
    <row r="360" spans="1:13" ht="26" customHeight="1">
      <c r="A360" s="108" t="s">
        <v>1014</v>
      </c>
      <c r="B360" s="108" t="s">
        <v>1015</v>
      </c>
      <c r="C360" s="108" t="s">
        <v>48</v>
      </c>
      <c r="D360" s="108" t="s">
        <v>1016</v>
      </c>
      <c r="E360" s="109" t="s">
        <v>36</v>
      </c>
      <c r="F360" s="110">
        <v>1</v>
      </c>
      <c r="G360" s="111">
        <v>890.38</v>
      </c>
      <c r="H360" s="111">
        <f t="shared" si="46"/>
        <v>890.38</v>
      </c>
      <c r="I360" s="111">
        <f>TRUNC(TRUNC(G360 * B4, 2) + G360, 2)</f>
        <v>1076.82</v>
      </c>
      <c r="J360" s="111">
        <f t="shared" si="47"/>
        <v>1076.82</v>
      </c>
      <c r="K360" s="111">
        <f t="shared" si="42"/>
        <v>1076.82</v>
      </c>
      <c r="L360" s="111">
        <f t="shared" si="43"/>
        <v>1076.82</v>
      </c>
      <c r="M360" s="112">
        <f>L360 / M428</f>
        <v>4.0670509638665662E-4</v>
      </c>
    </row>
    <row r="361" spans="1:13" ht="39" customHeight="1">
      <c r="A361" s="108" t="s">
        <v>1017</v>
      </c>
      <c r="B361" s="108" t="s">
        <v>1018</v>
      </c>
      <c r="C361" s="108" t="s">
        <v>35</v>
      </c>
      <c r="D361" s="108" t="s">
        <v>1019</v>
      </c>
      <c r="E361" s="109" t="s">
        <v>36</v>
      </c>
      <c r="F361" s="110">
        <v>2</v>
      </c>
      <c r="G361" s="111">
        <v>610.39</v>
      </c>
      <c r="H361" s="111">
        <f t="shared" si="46"/>
        <v>610.39</v>
      </c>
      <c r="I361" s="111">
        <f>TRUNC(TRUNC(G361 * B4, 2) + G361, 2)</f>
        <v>738.2</v>
      </c>
      <c r="J361" s="111">
        <f t="shared" si="47"/>
        <v>738.2</v>
      </c>
      <c r="K361" s="111">
        <f t="shared" si="42"/>
        <v>1476.4</v>
      </c>
      <c r="L361" s="111">
        <f t="shared" si="43"/>
        <v>1476.4</v>
      </c>
      <c r="M361" s="112">
        <f>L361 / M428</f>
        <v>5.5762281932473384E-4</v>
      </c>
    </row>
    <row r="362" spans="1:13" ht="24" customHeight="1">
      <c r="A362" s="103" t="s">
        <v>366</v>
      </c>
      <c r="B362" s="103" t="s">
        <v>30</v>
      </c>
      <c r="C362" s="103"/>
      <c r="D362" s="103" t="s">
        <v>1020</v>
      </c>
      <c r="E362" s="104"/>
      <c r="F362" s="105">
        <v>1</v>
      </c>
      <c r="G362" s="105" t="s">
        <v>31</v>
      </c>
      <c r="H362" s="105"/>
      <c r="I362" s="106">
        <f>K363 + K364 + K365 + K366 + K367 + K368 + K369 + K370 + K371 + K372 + K373</f>
        <v>10930.2</v>
      </c>
      <c r="J362" s="106">
        <f>L363 + L364 + L365 + L366 + L367 + L368 + L369 + L370 + L371 + L372 + L373</f>
        <v>10930.2</v>
      </c>
      <c r="K362" s="106">
        <f t="shared" si="42"/>
        <v>10930.2</v>
      </c>
      <c r="L362" s="106">
        <f t="shared" si="43"/>
        <v>10930.2</v>
      </c>
      <c r="M362" s="107">
        <f>L362 / M428</f>
        <v>4.1282368868756471E-3</v>
      </c>
    </row>
    <row r="363" spans="1:13" ht="52" customHeight="1">
      <c r="A363" s="108" t="s">
        <v>1021</v>
      </c>
      <c r="B363" s="108" t="s">
        <v>1022</v>
      </c>
      <c r="C363" s="108" t="s">
        <v>48</v>
      </c>
      <c r="D363" s="108" t="s">
        <v>1023</v>
      </c>
      <c r="E363" s="109" t="s">
        <v>63</v>
      </c>
      <c r="F363" s="110">
        <v>29.4</v>
      </c>
      <c r="G363" s="111">
        <v>109.84</v>
      </c>
      <c r="H363" s="111">
        <f t="shared" ref="H363:H373" si="48">ROUND(J363/(1+$B$4),2)</f>
        <v>109.84</v>
      </c>
      <c r="I363" s="111">
        <f>TRUNC(TRUNC(G363 * B4, 2) + G363, 2)</f>
        <v>132.84</v>
      </c>
      <c r="J363" s="111">
        <f t="shared" ref="J363:J373" si="49">TRUNC(L363/F363,4)</f>
        <v>132.83969999999999</v>
      </c>
      <c r="K363" s="111">
        <f t="shared" si="42"/>
        <v>3905.49</v>
      </c>
      <c r="L363" s="111">
        <f t="shared" si="43"/>
        <v>3905.49</v>
      </c>
      <c r="M363" s="112">
        <f>L363 / M428</f>
        <v>1.4750679657576228E-3</v>
      </c>
    </row>
    <row r="364" spans="1:13" ht="26" customHeight="1">
      <c r="A364" s="108" t="s">
        <v>1024</v>
      </c>
      <c r="B364" s="108" t="s">
        <v>1025</v>
      </c>
      <c r="C364" s="108" t="s">
        <v>48</v>
      </c>
      <c r="D364" s="108" t="s">
        <v>1026</v>
      </c>
      <c r="E364" s="109" t="s">
        <v>36</v>
      </c>
      <c r="F364" s="110">
        <v>2</v>
      </c>
      <c r="G364" s="111">
        <v>299.56</v>
      </c>
      <c r="H364" s="111">
        <f t="shared" si="48"/>
        <v>299.55</v>
      </c>
      <c r="I364" s="111">
        <f>TRUNC(TRUNC(G364 * B4, 2) + G364, 2)</f>
        <v>362.28</v>
      </c>
      <c r="J364" s="111">
        <f t="shared" si="49"/>
        <v>362.28</v>
      </c>
      <c r="K364" s="111">
        <f t="shared" si="42"/>
        <v>724.56</v>
      </c>
      <c r="L364" s="111">
        <f t="shared" si="43"/>
        <v>724.56</v>
      </c>
      <c r="M364" s="112">
        <f>L364 / M428</f>
        <v>2.7365970602135536E-4</v>
      </c>
    </row>
    <row r="365" spans="1:13" ht="26" customHeight="1">
      <c r="A365" s="108" t="s">
        <v>1027</v>
      </c>
      <c r="B365" s="108" t="s">
        <v>1028</v>
      </c>
      <c r="C365" s="108" t="s">
        <v>48</v>
      </c>
      <c r="D365" s="108" t="s">
        <v>1029</v>
      </c>
      <c r="E365" s="109" t="s">
        <v>36</v>
      </c>
      <c r="F365" s="110">
        <v>2</v>
      </c>
      <c r="G365" s="111">
        <v>411.56</v>
      </c>
      <c r="H365" s="111">
        <f t="shared" si="48"/>
        <v>411.56</v>
      </c>
      <c r="I365" s="111">
        <f>TRUNC(TRUNC(G365 * B4, 2) + G365, 2)</f>
        <v>497.74</v>
      </c>
      <c r="J365" s="111">
        <f t="shared" si="49"/>
        <v>497.74</v>
      </c>
      <c r="K365" s="111">
        <f t="shared" si="42"/>
        <v>995.48</v>
      </c>
      <c r="L365" s="111">
        <f t="shared" si="43"/>
        <v>995.48</v>
      </c>
      <c r="M365" s="112">
        <f>L365 / M428</f>
        <v>3.7598371998197371E-4</v>
      </c>
    </row>
    <row r="366" spans="1:13" ht="39" customHeight="1">
      <c r="A366" s="108" t="s">
        <v>1030</v>
      </c>
      <c r="B366" s="108" t="s">
        <v>1031</v>
      </c>
      <c r="C366" s="108" t="s">
        <v>48</v>
      </c>
      <c r="D366" s="108" t="s">
        <v>1032</v>
      </c>
      <c r="E366" s="109" t="s">
        <v>36</v>
      </c>
      <c r="F366" s="110">
        <v>4</v>
      </c>
      <c r="G366" s="111">
        <v>216.79</v>
      </c>
      <c r="H366" s="111">
        <f t="shared" si="48"/>
        <v>216.79</v>
      </c>
      <c r="I366" s="111">
        <f>TRUNC(TRUNC(G366 * B4, 2) + G366, 2)</f>
        <v>262.18</v>
      </c>
      <c r="J366" s="111">
        <f t="shared" si="49"/>
        <v>262.18</v>
      </c>
      <c r="K366" s="111">
        <f t="shared" si="42"/>
        <v>1048.72</v>
      </c>
      <c r="L366" s="111">
        <f t="shared" si="43"/>
        <v>1048.72</v>
      </c>
      <c r="M366" s="112">
        <f>L366 / M428</f>
        <v>3.9609198258076052E-4</v>
      </c>
    </row>
    <row r="367" spans="1:13" ht="52" customHeight="1">
      <c r="A367" s="108" t="s">
        <v>1033</v>
      </c>
      <c r="B367" s="108" t="s">
        <v>1034</v>
      </c>
      <c r="C367" s="108" t="s">
        <v>35</v>
      </c>
      <c r="D367" s="108" t="s">
        <v>1035</v>
      </c>
      <c r="E367" s="109" t="s">
        <v>36</v>
      </c>
      <c r="F367" s="110">
        <v>1</v>
      </c>
      <c r="G367" s="111">
        <v>227.26</v>
      </c>
      <c r="H367" s="111">
        <f t="shared" si="48"/>
        <v>227.25</v>
      </c>
      <c r="I367" s="111">
        <f>TRUNC(TRUNC(G367 * B4, 2) + G367, 2)</f>
        <v>274.83999999999997</v>
      </c>
      <c r="J367" s="111">
        <f t="shared" si="49"/>
        <v>274.83999999999997</v>
      </c>
      <c r="K367" s="111">
        <f t="shared" si="42"/>
        <v>274.83999999999997</v>
      </c>
      <c r="L367" s="111">
        <f t="shared" si="43"/>
        <v>274.83999999999997</v>
      </c>
      <c r="M367" s="112">
        <f>L367 / M428</f>
        <v>1.0380456222108495E-4</v>
      </c>
    </row>
    <row r="368" spans="1:13" ht="52" customHeight="1">
      <c r="A368" s="108" t="s">
        <v>1036</v>
      </c>
      <c r="B368" s="108" t="s">
        <v>1037</v>
      </c>
      <c r="C368" s="108" t="s">
        <v>35</v>
      </c>
      <c r="D368" s="108" t="s">
        <v>1038</v>
      </c>
      <c r="E368" s="109" t="s">
        <v>36</v>
      </c>
      <c r="F368" s="110">
        <v>8</v>
      </c>
      <c r="G368" s="111">
        <v>129.72</v>
      </c>
      <c r="H368" s="111">
        <f t="shared" si="48"/>
        <v>129.72</v>
      </c>
      <c r="I368" s="111">
        <f>TRUNC(TRUNC(G368 * B4, 2) + G368, 2)</f>
        <v>156.88</v>
      </c>
      <c r="J368" s="111">
        <f t="shared" si="49"/>
        <v>156.88</v>
      </c>
      <c r="K368" s="111">
        <f t="shared" si="42"/>
        <v>1255.04</v>
      </c>
      <c r="L368" s="111">
        <f t="shared" si="43"/>
        <v>1255.04</v>
      </c>
      <c r="M368" s="112">
        <f>L368 / M428</f>
        <v>4.7401716551430091E-4</v>
      </c>
    </row>
    <row r="369" spans="1:13" ht="52" customHeight="1">
      <c r="A369" s="108" t="s">
        <v>1039</v>
      </c>
      <c r="B369" s="108" t="s">
        <v>1040</v>
      </c>
      <c r="C369" s="108" t="s">
        <v>35</v>
      </c>
      <c r="D369" s="108" t="s">
        <v>1041</v>
      </c>
      <c r="E369" s="109" t="s">
        <v>36</v>
      </c>
      <c r="F369" s="110">
        <v>1</v>
      </c>
      <c r="G369" s="111">
        <v>92.91</v>
      </c>
      <c r="H369" s="111">
        <f t="shared" si="48"/>
        <v>92.91</v>
      </c>
      <c r="I369" s="111">
        <f>TRUNC(TRUNC(G369 * B4, 2) + G369, 2)</f>
        <v>112.36</v>
      </c>
      <c r="J369" s="111">
        <f t="shared" si="49"/>
        <v>112.36</v>
      </c>
      <c r="K369" s="111">
        <f t="shared" si="42"/>
        <v>112.36</v>
      </c>
      <c r="L369" s="111">
        <f t="shared" si="43"/>
        <v>112.36</v>
      </c>
      <c r="M369" s="112">
        <f>L369 / M428</f>
        <v>4.243734758827356E-5</v>
      </c>
    </row>
    <row r="370" spans="1:13" ht="26" customHeight="1">
      <c r="A370" s="108" t="s">
        <v>1042</v>
      </c>
      <c r="B370" s="108" t="s">
        <v>1043</v>
      </c>
      <c r="C370" s="108" t="s">
        <v>35</v>
      </c>
      <c r="D370" s="108" t="s">
        <v>1044</v>
      </c>
      <c r="E370" s="109" t="s">
        <v>36</v>
      </c>
      <c r="F370" s="110">
        <v>5</v>
      </c>
      <c r="G370" s="111">
        <v>50.57</v>
      </c>
      <c r="H370" s="111">
        <f t="shared" si="48"/>
        <v>50.56</v>
      </c>
      <c r="I370" s="111">
        <f>TRUNC(TRUNC(G370 * B4, 2) + G370, 2)</f>
        <v>61.15</v>
      </c>
      <c r="J370" s="111">
        <f t="shared" si="49"/>
        <v>61.15</v>
      </c>
      <c r="K370" s="111">
        <f t="shared" si="42"/>
        <v>305.75</v>
      </c>
      <c r="L370" s="111">
        <f t="shared" si="43"/>
        <v>305.75</v>
      </c>
      <c r="M370" s="112">
        <f>L370 / M428</f>
        <v>1.1547898740757069E-4</v>
      </c>
    </row>
    <row r="371" spans="1:13" ht="26" customHeight="1">
      <c r="A371" s="108" t="s">
        <v>1045</v>
      </c>
      <c r="B371" s="108" t="s">
        <v>1046</v>
      </c>
      <c r="C371" s="108" t="s">
        <v>35</v>
      </c>
      <c r="D371" s="108" t="s">
        <v>1047</v>
      </c>
      <c r="E371" s="109" t="s">
        <v>36</v>
      </c>
      <c r="F371" s="110">
        <v>3</v>
      </c>
      <c r="G371" s="111">
        <v>12.06</v>
      </c>
      <c r="H371" s="111">
        <f t="shared" si="48"/>
        <v>12.06</v>
      </c>
      <c r="I371" s="111">
        <f>TRUNC(TRUNC(G371 * B4, 2) + G371, 2)</f>
        <v>14.58</v>
      </c>
      <c r="J371" s="111">
        <f t="shared" si="49"/>
        <v>14.58</v>
      </c>
      <c r="K371" s="111">
        <f t="shared" si="42"/>
        <v>43.74</v>
      </c>
      <c r="L371" s="111">
        <f t="shared" si="43"/>
        <v>43.74</v>
      </c>
      <c r="M371" s="112">
        <f>L371 / M428</f>
        <v>1.6520199212451813E-5</v>
      </c>
    </row>
    <row r="372" spans="1:13" ht="39" customHeight="1">
      <c r="A372" s="108" t="s">
        <v>1048</v>
      </c>
      <c r="B372" s="108" t="s">
        <v>1049</v>
      </c>
      <c r="C372" s="108" t="s">
        <v>35</v>
      </c>
      <c r="D372" s="108" t="s">
        <v>1050</v>
      </c>
      <c r="E372" s="109" t="s">
        <v>36</v>
      </c>
      <c r="F372" s="110">
        <v>3</v>
      </c>
      <c r="G372" s="111">
        <v>513.45000000000005</v>
      </c>
      <c r="H372" s="111">
        <f t="shared" si="48"/>
        <v>513.44000000000005</v>
      </c>
      <c r="I372" s="111">
        <f>TRUNC(TRUNC(G372 * B4, 2) + G372, 2)</f>
        <v>620.96</v>
      </c>
      <c r="J372" s="111">
        <f t="shared" si="49"/>
        <v>620.96</v>
      </c>
      <c r="K372" s="111">
        <f t="shared" si="42"/>
        <v>1862.88</v>
      </c>
      <c r="L372" s="111">
        <f t="shared" si="43"/>
        <v>1862.88</v>
      </c>
      <c r="M372" s="112">
        <f>L372 / M428</f>
        <v>7.0359279169849643E-4</v>
      </c>
    </row>
    <row r="373" spans="1:13" ht="39" customHeight="1">
      <c r="A373" s="108" t="s">
        <v>1051</v>
      </c>
      <c r="B373" s="108" t="s">
        <v>1052</v>
      </c>
      <c r="C373" s="108" t="s">
        <v>35</v>
      </c>
      <c r="D373" s="108" t="s">
        <v>1053</v>
      </c>
      <c r="E373" s="109" t="s">
        <v>36</v>
      </c>
      <c r="F373" s="110">
        <v>2</v>
      </c>
      <c r="G373" s="111">
        <v>165.93</v>
      </c>
      <c r="H373" s="111">
        <f t="shared" si="48"/>
        <v>165.93</v>
      </c>
      <c r="I373" s="111">
        <f>TRUNC(TRUNC(G373 * B4, 2) + G373, 2)</f>
        <v>200.67</v>
      </c>
      <c r="J373" s="111">
        <f t="shared" si="49"/>
        <v>200.67</v>
      </c>
      <c r="K373" s="111">
        <f t="shared" si="42"/>
        <v>401.34</v>
      </c>
      <c r="L373" s="111">
        <f t="shared" si="43"/>
        <v>401.34</v>
      </c>
      <c r="M373" s="112">
        <f>L373 / M428</f>
        <v>1.5158245889175607E-4</v>
      </c>
    </row>
    <row r="374" spans="1:13" ht="24" customHeight="1">
      <c r="A374" s="103" t="s">
        <v>367</v>
      </c>
      <c r="B374" s="103" t="s">
        <v>30</v>
      </c>
      <c r="C374" s="103"/>
      <c r="D374" s="103" t="s">
        <v>1054</v>
      </c>
      <c r="E374" s="104"/>
      <c r="F374" s="105">
        <v>1</v>
      </c>
      <c r="G374" s="105" t="s">
        <v>31</v>
      </c>
      <c r="H374" s="105"/>
      <c r="I374" s="106">
        <f>K375 + K376 + K377 + K378 + K379 + K380 + K381 + K382</f>
        <v>2660.4900000000002</v>
      </c>
      <c r="J374" s="106">
        <f>L375 + L376 + L377 + L378 + L379 + L380 + L381 + L382</f>
        <v>2660.4900000000002</v>
      </c>
      <c r="K374" s="106">
        <f t="shared" si="42"/>
        <v>2660.49</v>
      </c>
      <c r="L374" s="106">
        <f t="shared" si="43"/>
        <v>2660.49</v>
      </c>
      <c r="M374" s="107">
        <f>L374 / M428</f>
        <v>1.004842816706354E-3</v>
      </c>
    </row>
    <row r="375" spans="1:13" ht="39" customHeight="1">
      <c r="A375" s="108" t="s">
        <v>1055</v>
      </c>
      <c r="B375" s="108" t="s">
        <v>265</v>
      </c>
      <c r="C375" s="108" t="s">
        <v>48</v>
      </c>
      <c r="D375" s="108" t="s">
        <v>266</v>
      </c>
      <c r="E375" s="109" t="s">
        <v>36</v>
      </c>
      <c r="F375" s="110">
        <v>1</v>
      </c>
      <c r="G375" s="111">
        <v>512.46</v>
      </c>
      <c r="H375" s="111">
        <f t="shared" ref="H375:H382" si="50">ROUND(J375/(1+$B$4),2)</f>
        <v>512.45000000000005</v>
      </c>
      <c r="I375" s="111">
        <f>TRUNC(TRUNC(G375 * B4, 2) + G375, 2)</f>
        <v>619.76</v>
      </c>
      <c r="J375" s="111">
        <f t="shared" ref="J375:J382" si="51">TRUNC(L375/F375,4)</f>
        <v>619.76</v>
      </c>
      <c r="K375" s="111">
        <f t="shared" si="42"/>
        <v>619.76</v>
      </c>
      <c r="L375" s="111">
        <f t="shared" si="43"/>
        <v>619.76</v>
      </c>
      <c r="M375" s="112">
        <f>L375 / M428</f>
        <v>2.3407770150683893E-4</v>
      </c>
    </row>
    <row r="376" spans="1:13" ht="39" customHeight="1">
      <c r="A376" s="113" t="s">
        <v>1056</v>
      </c>
      <c r="B376" s="113" t="s">
        <v>391</v>
      </c>
      <c r="C376" s="113" t="s">
        <v>48</v>
      </c>
      <c r="D376" s="113" t="s">
        <v>392</v>
      </c>
      <c r="E376" s="114" t="s">
        <v>36</v>
      </c>
      <c r="F376" s="115">
        <v>1</v>
      </c>
      <c r="G376" s="116">
        <v>205.58</v>
      </c>
      <c r="H376" s="116">
        <f t="shared" si="50"/>
        <v>205.57</v>
      </c>
      <c r="I376" s="116">
        <f>TRUNC(TRUNC(G376 * B4, 2) + G376, 2)</f>
        <v>248.62</v>
      </c>
      <c r="J376" s="116">
        <f t="shared" si="51"/>
        <v>248.62</v>
      </c>
      <c r="K376" s="116">
        <f t="shared" si="42"/>
        <v>248.62</v>
      </c>
      <c r="L376" s="116">
        <f t="shared" si="43"/>
        <v>248.62</v>
      </c>
      <c r="M376" s="117">
        <f>L376 / M428</f>
        <v>9.3901507274800407E-5</v>
      </c>
    </row>
    <row r="377" spans="1:13" ht="52" customHeight="1">
      <c r="A377" s="108" t="s">
        <v>1057</v>
      </c>
      <c r="B377" s="108" t="s">
        <v>1022</v>
      </c>
      <c r="C377" s="108" t="s">
        <v>48</v>
      </c>
      <c r="D377" s="108" t="s">
        <v>1023</v>
      </c>
      <c r="E377" s="109" t="s">
        <v>63</v>
      </c>
      <c r="F377" s="110">
        <v>2.2999999999999998</v>
      </c>
      <c r="G377" s="111">
        <v>109.84</v>
      </c>
      <c r="H377" s="111">
        <f t="shared" si="50"/>
        <v>109.84</v>
      </c>
      <c r="I377" s="111">
        <f>TRUNC(TRUNC(G377 * B4, 2) + G377, 2)</f>
        <v>132.84</v>
      </c>
      <c r="J377" s="111">
        <f t="shared" si="51"/>
        <v>132.8391</v>
      </c>
      <c r="K377" s="111">
        <f t="shared" si="42"/>
        <v>305.52999999999997</v>
      </c>
      <c r="L377" s="111">
        <f t="shared" si="43"/>
        <v>305.52999999999997</v>
      </c>
      <c r="M377" s="112">
        <f>L377 / M428</f>
        <v>1.1539589541336081E-4</v>
      </c>
    </row>
    <row r="378" spans="1:13" ht="26" customHeight="1">
      <c r="A378" s="108" t="s">
        <v>1058</v>
      </c>
      <c r="B378" s="108" t="s">
        <v>1059</v>
      </c>
      <c r="C378" s="108" t="s">
        <v>48</v>
      </c>
      <c r="D378" s="108" t="s">
        <v>1060</v>
      </c>
      <c r="E378" s="109" t="s">
        <v>36</v>
      </c>
      <c r="F378" s="110">
        <v>1</v>
      </c>
      <c r="G378" s="111">
        <v>647.14</v>
      </c>
      <c r="H378" s="111">
        <f t="shared" si="50"/>
        <v>647.14</v>
      </c>
      <c r="I378" s="111">
        <f>TRUNC(TRUNC(G378 * B4, 2) + G378, 2)</f>
        <v>782.65</v>
      </c>
      <c r="J378" s="111">
        <f t="shared" si="51"/>
        <v>782.65</v>
      </c>
      <c r="K378" s="111">
        <f t="shared" si="42"/>
        <v>782.65</v>
      </c>
      <c r="L378" s="111">
        <f t="shared" si="43"/>
        <v>782.65</v>
      </c>
      <c r="M378" s="112">
        <f>L378 / M428</f>
        <v>2.9559976940158689E-4</v>
      </c>
    </row>
    <row r="379" spans="1:13" ht="52" customHeight="1">
      <c r="A379" s="108" t="s">
        <v>1061</v>
      </c>
      <c r="B379" s="108" t="s">
        <v>1062</v>
      </c>
      <c r="C379" s="108" t="s">
        <v>48</v>
      </c>
      <c r="D379" s="108" t="s">
        <v>1063</v>
      </c>
      <c r="E379" s="109" t="s">
        <v>36</v>
      </c>
      <c r="F379" s="110">
        <v>1</v>
      </c>
      <c r="G379" s="111">
        <v>216.53</v>
      </c>
      <c r="H379" s="111">
        <f t="shared" si="50"/>
        <v>216.53</v>
      </c>
      <c r="I379" s="111">
        <f>TRUNC(TRUNC(G379 * B4, 2) + G379, 2)</f>
        <v>261.87</v>
      </c>
      <c r="J379" s="111">
        <f t="shared" si="51"/>
        <v>261.87</v>
      </c>
      <c r="K379" s="111">
        <f t="shared" si="42"/>
        <v>261.87</v>
      </c>
      <c r="L379" s="111">
        <f t="shared" si="43"/>
        <v>261.87</v>
      </c>
      <c r="M379" s="112">
        <f>L379 / M428</f>
        <v>9.8905911471530781E-5</v>
      </c>
    </row>
    <row r="380" spans="1:13" ht="52" customHeight="1">
      <c r="A380" s="108" t="s">
        <v>1064</v>
      </c>
      <c r="B380" s="108" t="s">
        <v>1065</v>
      </c>
      <c r="C380" s="108" t="s">
        <v>35</v>
      </c>
      <c r="D380" s="108" t="s">
        <v>1066</v>
      </c>
      <c r="E380" s="109" t="s">
        <v>36</v>
      </c>
      <c r="F380" s="110">
        <v>1</v>
      </c>
      <c r="G380" s="111">
        <v>109.76</v>
      </c>
      <c r="H380" s="111">
        <f t="shared" si="50"/>
        <v>109.76</v>
      </c>
      <c r="I380" s="111">
        <f>TRUNC(TRUNC(G380 * B4, 2) + G380, 2)</f>
        <v>132.74</v>
      </c>
      <c r="J380" s="111">
        <f t="shared" si="51"/>
        <v>132.74</v>
      </c>
      <c r="K380" s="111">
        <f t="shared" si="42"/>
        <v>132.74</v>
      </c>
      <c r="L380" s="111">
        <f t="shared" si="43"/>
        <v>132.74</v>
      </c>
      <c r="M380" s="112">
        <f>L380 / M428</f>
        <v>5.0134687779169038E-5</v>
      </c>
    </row>
    <row r="381" spans="1:13" ht="52" customHeight="1">
      <c r="A381" s="108" t="s">
        <v>1067</v>
      </c>
      <c r="B381" s="108" t="s">
        <v>1068</v>
      </c>
      <c r="C381" s="108" t="s">
        <v>35</v>
      </c>
      <c r="D381" s="108" t="s">
        <v>1069</v>
      </c>
      <c r="E381" s="109" t="s">
        <v>36</v>
      </c>
      <c r="F381" s="110">
        <v>1</v>
      </c>
      <c r="G381" s="111">
        <v>126.05</v>
      </c>
      <c r="H381" s="111">
        <f t="shared" si="50"/>
        <v>126.05</v>
      </c>
      <c r="I381" s="111">
        <f>TRUNC(TRUNC(G381 * B4, 2) + G381, 2)</f>
        <v>152.44</v>
      </c>
      <c r="J381" s="111">
        <f t="shared" si="51"/>
        <v>152.44</v>
      </c>
      <c r="K381" s="111">
        <f t="shared" si="42"/>
        <v>152.44</v>
      </c>
      <c r="L381" s="111">
        <f t="shared" si="43"/>
        <v>152.44</v>
      </c>
      <c r="M381" s="112">
        <f>L381 / M428</f>
        <v>5.7575198169779472E-5</v>
      </c>
    </row>
    <row r="382" spans="1:13" ht="52" customHeight="1">
      <c r="A382" s="108" t="s">
        <v>1070</v>
      </c>
      <c r="B382" s="108" t="s">
        <v>1037</v>
      </c>
      <c r="C382" s="108" t="s">
        <v>35</v>
      </c>
      <c r="D382" s="108" t="s">
        <v>1038</v>
      </c>
      <c r="E382" s="109" t="s">
        <v>36</v>
      </c>
      <c r="F382" s="110">
        <v>1</v>
      </c>
      <c r="G382" s="111">
        <v>129.72</v>
      </c>
      <c r="H382" s="111">
        <f t="shared" si="50"/>
        <v>129.72</v>
      </c>
      <c r="I382" s="111">
        <f>TRUNC(TRUNC(G382 * B4, 2) + G382, 2)</f>
        <v>156.88</v>
      </c>
      <c r="J382" s="111">
        <f t="shared" si="51"/>
        <v>156.88</v>
      </c>
      <c r="K382" s="111">
        <f t="shared" si="42"/>
        <v>156.88</v>
      </c>
      <c r="L382" s="111">
        <f t="shared" si="43"/>
        <v>156.88</v>
      </c>
      <c r="M382" s="112">
        <f>L382 / M428</f>
        <v>5.9252145689287614E-5</v>
      </c>
    </row>
    <row r="383" spans="1:13" ht="24" customHeight="1">
      <c r="A383" s="103" t="s">
        <v>368</v>
      </c>
      <c r="B383" s="103" t="s">
        <v>30</v>
      </c>
      <c r="C383" s="103"/>
      <c r="D383" s="103" t="s">
        <v>1071</v>
      </c>
      <c r="E383" s="104"/>
      <c r="F383" s="105">
        <v>1</v>
      </c>
      <c r="G383" s="105" t="s">
        <v>31</v>
      </c>
      <c r="H383" s="105"/>
      <c r="I383" s="106">
        <f>K384 + K385 + K386 + K387 + K388 + K389</f>
        <v>1436.15</v>
      </c>
      <c r="J383" s="106">
        <f>L384 + L385 + L386 + L387 + L388 + L389</f>
        <v>1436.15</v>
      </c>
      <c r="K383" s="106">
        <f t="shared" si="42"/>
        <v>1436.15</v>
      </c>
      <c r="L383" s="106">
        <f t="shared" si="43"/>
        <v>1436.15</v>
      </c>
      <c r="M383" s="107">
        <f>L383 / M428</f>
        <v>5.4242076129315661E-4</v>
      </c>
    </row>
    <row r="384" spans="1:13" ht="52" customHeight="1">
      <c r="A384" s="108" t="s">
        <v>1072</v>
      </c>
      <c r="B384" s="108" t="s">
        <v>1073</v>
      </c>
      <c r="C384" s="108" t="s">
        <v>48</v>
      </c>
      <c r="D384" s="108" t="s">
        <v>1074</v>
      </c>
      <c r="E384" s="109" t="s">
        <v>63</v>
      </c>
      <c r="F384" s="110">
        <v>1.5</v>
      </c>
      <c r="G384" s="111">
        <v>45.86</v>
      </c>
      <c r="H384" s="111">
        <f t="shared" ref="H384:H389" si="52">ROUND(J384/(1+$B$4),2)</f>
        <v>45.86</v>
      </c>
      <c r="I384" s="111">
        <f>TRUNC(TRUNC(G384 * B4, 2) + G384, 2)</f>
        <v>55.46</v>
      </c>
      <c r="J384" s="111">
        <f t="shared" ref="J384:J389" si="53">TRUNC(L384/F384,4)</f>
        <v>55.46</v>
      </c>
      <c r="K384" s="111">
        <f t="shared" si="42"/>
        <v>83.19</v>
      </c>
      <c r="L384" s="111">
        <f t="shared" si="43"/>
        <v>83.19</v>
      </c>
      <c r="M384" s="112">
        <f>L384 / M428</f>
        <v>3.1420104537811297E-5</v>
      </c>
    </row>
    <row r="385" spans="1:13" ht="52" customHeight="1">
      <c r="A385" s="108" t="s">
        <v>1075</v>
      </c>
      <c r="B385" s="108" t="s">
        <v>1076</v>
      </c>
      <c r="C385" s="108" t="s">
        <v>48</v>
      </c>
      <c r="D385" s="108" t="s">
        <v>1077</v>
      </c>
      <c r="E385" s="109" t="s">
        <v>36</v>
      </c>
      <c r="F385" s="110">
        <v>2</v>
      </c>
      <c r="G385" s="111">
        <v>58.65</v>
      </c>
      <c r="H385" s="111">
        <f t="shared" si="52"/>
        <v>58.65</v>
      </c>
      <c r="I385" s="111">
        <f>TRUNC(TRUNC(G385 * B4, 2) + G385, 2)</f>
        <v>70.930000000000007</v>
      </c>
      <c r="J385" s="111">
        <f t="shared" si="53"/>
        <v>70.930000000000007</v>
      </c>
      <c r="K385" s="111">
        <f t="shared" si="42"/>
        <v>141.86000000000001</v>
      </c>
      <c r="L385" s="111">
        <f t="shared" si="43"/>
        <v>141.86000000000001</v>
      </c>
      <c r="M385" s="112">
        <f>L385 / M428</f>
        <v>5.3579228630050625E-5</v>
      </c>
    </row>
    <row r="386" spans="1:13" ht="26" customHeight="1">
      <c r="A386" s="108" t="s">
        <v>1078</v>
      </c>
      <c r="B386" s="108" t="s">
        <v>252</v>
      </c>
      <c r="C386" s="108" t="s">
        <v>48</v>
      </c>
      <c r="D386" s="108" t="s">
        <v>253</v>
      </c>
      <c r="E386" s="109" t="s">
        <v>36</v>
      </c>
      <c r="F386" s="110">
        <v>2</v>
      </c>
      <c r="G386" s="111">
        <v>63.65</v>
      </c>
      <c r="H386" s="111">
        <f t="shared" si="52"/>
        <v>63.64</v>
      </c>
      <c r="I386" s="111">
        <f>TRUNC(TRUNC(G386 * B4, 2) + G386, 2)</f>
        <v>76.97</v>
      </c>
      <c r="J386" s="111">
        <f t="shared" si="53"/>
        <v>76.97</v>
      </c>
      <c r="K386" s="111">
        <f t="shared" si="42"/>
        <v>153.94</v>
      </c>
      <c r="L386" s="111">
        <f t="shared" si="43"/>
        <v>153.94</v>
      </c>
      <c r="M386" s="112">
        <f>L386 / M428</f>
        <v>5.8141734493937633E-5</v>
      </c>
    </row>
    <row r="387" spans="1:13" ht="26" customHeight="1">
      <c r="A387" s="108" t="s">
        <v>1079</v>
      </c>
      <c r="B387" s="108" t="s">
        <v>1080</v>
      </c>
      <c r="C387" s="108" t="s">
        <v>48</v>
      </c>
      <c r="D387" s="108" t="s">
        <v>1081</v>
      </c>
      <c r="E387" s="109" t="s">
        <v>36</v>
      </c>
      <c r="F387" s="110">
        <v>1</v>
      </c>
      <c r="G387" s="111">
        <v>180.67</v>
      </c>
      <c r="H387" s="111">
        <f t="shared" si="52"/>
        <v>180.67</v>
      </c>
      <c r="I387" s="111">
        <f>TRUNC(TRUNC(G387 * B4, 2) + G387, 2)</f>
        <v>218.5</v>
      </c>
      <c r="J387" s="111">
        <f t="shared" si="53"/>
        <v>218.5</v>
      </c>
      <c r="K387" s="111">
        <f t="shared" si="42"/>
        <v>218.5</v>
      </c>
      <c r="L387" s="111">
        <f t="shared" si="43"/>
        <v>218.5</v>
      </c>
      <c r="M387" s="112">
        <f>L387 / M428</f>
        <v>8.252545788570464E-5</v>
      </c>
    </row>
    <row r="388" spans="1:13" ht="26" customHeight="1">
      <c r="A388" s="108" t="s">
        <v>1082</v>
      </c>
      <c r="B388" s="108" t="s">
        <v>1083</v>
      </c>
      <c r="C388" s="108" t="s">
        <v>35</v>
      </c>
      <c r="D388" s="108" t="s">
        <v>1084</v>
      </c>
      <c r="E388" s="109" t="s">
        <v>36</v>
      </c>
      <c r="F388" s="110">
        <v>2</v>
      </c>
      <c r="G388" s="111">
        <v>213.74</v>
      </c>
      <c r="H388" s="111">
        <f t="shared" si="52"/>
        <v>213.73</v>
      </c>
      <c r="I388" s="111">
        <f>TRUNC(TRUNC(G388 * B4, 2) + G388, 2)</f>
        <v>258.49</v>
      </c>
      <c r="J388" s="111">
        <f t="shared" si="53"/>
        <v>258.49</v>
      </c>
      <c r="K388" s="111">
        <f t="shared" si="42"/>
        <v>516.98</v>
      </c>
      <c r="L388" s="111">
        <f t="shared" si="43"/>
        <v>516.98</v>
      </c>
      <c r="M388" s="112">
        <f>L388 / M428</f>
        <v>1.9525863257552215E-4</v>
      </c>
    </row>
    <row r="389" spans="1:13" ht="26" customHeight="1">
      <c r="A389" s="108" t="s">
        <v>1085</v>
      </c>
      <c r="B389" s="108" t="s">
        <v>1086</v>
      </c>
      <c r="C389" s="108" t="s">
        <v>35</v>
      </c>
      <c r="D389" s="108" t="s">
        <v>1087</v>
      </c>
      <c r="E389" s="109" t="s">
        <v>240</v>
      </c>
      <c r="F389" s="110">
        <v>1</v>
      </c>
      <c r="G389" s="111">
        <v>265.99</v>
      </c>
      <c r="H389" s="111">
        <f t="shared" si="52"/>
        <v>265.98</v>
      </c>
      <c r="I389" s="111">
        <f>TRUNC(TRUNC(G389 * B4, 2) + G389, 2)</f>
        <v>321.68</v>
      </c>
      <c r="J389" s="111">
        <f t="shared" si="53"/>
        <v>321.68</v>
      </c>
      <c r="K389" s="111">
        <f t="shared" si="42"/>
        <v>321.68</v>
      </c>
      <c r="L389" s="111">
        <f t="shared" si="43"/>
        <v>321.68</v>
      </c>
      <c r="M389" s="112">
        <f>L389 / M428</f>
        <v>1.214956031701303E-4</v>
      </c>
    </row>
    <row r="390" spans="1:13" ht="24" customHeight="1">
      <c r="A390" s="103" t="s">
        <v>369</v>
      </c>
      <c r="B390" s="103" t="s">
        <v>30</v>
      </c>
      <c r="C390" s="103"/>
      <c r="D390" s="103" t="s">
        <v>1088</v>
      </c>
      <c r="E390" s="104"/>
      <c r="F390" s="105">
        <v>1</v>
      </c>
      <c r="G390" s="105" t="s">
        <v>31</v>
      </c>
      <c r="H390" s="105"/>
      <c r="I390" s="106">
        <f>K391 + K396 + K401 + K408 + K411</f>
        <v>7556.6200000000008</v>
      </c>
      <c r="J390" s="106">
        <f>L391 + L396 + L401 + L408 + L411</f>
        <v>7556.6200000000008</v>
      </c>
      <c r="K390" s="106">
        <f t="shared" si="42"/>
        <v>7556.62</v>
      </c>
      <c r="L390" s="106">
        <f t="shared" si="43"/>
        <v>7556.62</v>
      </c>
      <c r="M390" s="107">
        <f>L390 / M428</f>
        <v>2.8540664785733335E-3</v>
      </c>
    </row>
    <row r="391" spans="1:13" ht="24" customHeight="1">
      <c r="A391" s="103" t="s">
        <v>1089</v>
      </c>
      <c r="B391" s="103" t="s">
        <v>30</v>
      </c>
      <c r="C391" s="103"/>
      <c r="D391" s="103" t="s">
        <v>154</v>
      </c>
      <c r="E391" s="104"/>
      <c r="F391" s="105">
        <v>1</v>
      </c>
      <c r="G391" s="105" t="s">
        <v>31</v>
      </c>
      <c r="H391" s="105"/>
      <c r="I391" s="106">
        <f>K392 + K393 + K394 + K395</f>
        <v>1362.0800000000002</v>
      </c>
      <c r="J391" s="106">
        <f>L392 + L393 + L394 + L395</f>
        <v>1362.0800000000002</v>
      </c>
      <c r="K391" s="106">
        <f t="shared" si="42"/>
        <v>1362.08</v>
      </c>
      <c r="L391" s="106">
        <f t="shared" si="43"/>
        <v>1362.08</v>
      </c>
      <c r="M391" s="107">
        <f>L391 / M428</f>
        <v>5.1444519760622683E-4</v>
      </c>
    </row>
    <row r="392" spans="1:13" ht="39" customHeight="1">
      <c r="A392" s="108" t="s">
        <v>1090</v>
      </c>
      <c r="B392" s="108" t="s">
        <v>1091</v>
      </c>
      <c r="C392" s="108" t="s">
        <v>48</v>
      </c>
      <c r="D392" s="108" t="s">
        <v>1092</v>
      </c>
      <c r="E392" s="109" t="s">
        <v>70</v>
      </c>
      <c r="F392" s="110">
        <v>0.38</v>
      </c>
      <c r="G392" s="111">
        <v>971.43</v>
      </c>
      <c r="H392" s="111">
        <f>ROUND(J392/(1+$B$4),2)</f>
        <v>971.4</v>
      </c>
      <c r="I392" s="111">
        <f>TRUNC(TRUNC(G392 * B4, 2) + G392, 2)</f>
        <v>1174.8399999999999</v>
      </c>
      <c r="J392" s="111">
        <f>TRUNC(L392/F392,4)</f>
        <v>1174.8157000000001</v>
      </c>
      <c r="K392" s="111">
        <f t="shared" si="42"/>
        <v>446.43</v>
      </c>
      <c r="L392" s="111">
        <f t="shared" si="43"/>
        <v>446.43</v>
      </c>
      <c r="M392" s="112">
        <f>L392 / M428</f>
        <v>1.6861254079595021E-4</v>
      </c>
    </row>
    <row r="393" spans="1:13" ht="52" customHeight="1">
      <c r="A393" s="108" t="s">
        <v>1093</v>
      </c>
      <c r="B393" s="108" t="s">
        <v>1094</v>
      </c>
      <c r="C393" s="108" t="s">
        <v>48</v>
      </c>
      <c r="D393" s="108" t="s">
        <v>1095</v>
      </c>
      <c r="E393" s="109" t="s">
        <v>49</v>
      </c>
      <c r="F393" s="110">
        <v>5.52</v>
      </c>
      <c r="G393" s="111">
        <v>93.43</v>
      </c>
      <c r="H393" s="111">
        <f>ROUND(J393/(1+$B$4),2)</f>
        <v>93.43</v>
      </c>
      <c r="I393" s="111">
        <f>TRUNC(TRUNC(G393 * B4, 2) + G393, 2)</f>
        <v>112.99</v>
      </c>
      <c r="J393" s="111">
        <f>TRUNC(L393/F393,4)</f>
        <v>112.98909999999999</v>
      </c>
      <c r="K393" s="111">
        <f t="shared" ref="K393:K424" si="54">TRUNC(F393 * I393,2)</f>
        <v>623.70000000000005</v>
      </c>
      <c r="L393" s="111">
        <f t="shared" si="43"/>
        <v>623.70000000000005</v>
      </c>
      <c r="M393" s="112">
        <f>L393 / M428</f>
        <v>2.3556580358496105E-4</v>
      </c>
    </row>
    <row r="394" spans="1:13" ht="39" customHeight="1">
      <c r="A394" s="108" t="s">
        <v>1096</v>
      </c>
      <c r="B394" s="108" t="s">
        <v>166</v>
      </c>
      <c r="C394" s="108" t="s">
        <v>48</v>
      </c>
      <c r="D394" s="108" t="s">
        <v>167</v>
      </c>
      <c r="E394" s="109" t="s">
        <v>138</v>
      </c>
      <c r="F394" s="110">
        <v>14.22</v>
      </c>
      <c r="G394" s="111">
        <v>11.62</v>
      </c>
      <c r="H394" s="111">
        <f>ROUND(J394/(1+$B$4),2)</f>
        <v>11.62</v>
      </c>
      <c r="I394" s="111">
        <f>TRUNC(TRUNC(G394 * B4, 2) + G394, 2)</f>
        <v>14.05</v>
      </c>
      <c r="J394" s="111">
        <f>TRUNC(L394/F394,4)</f>
        <v>14.049899999999999</v>
      </c>
      <c r="K394" s="111">
        <f t="shared" si="54"/>
        <v>199.79</v>
      </c>
      <c r="L394" s="111">
        <f t="shared" ref="L394:L424" si="55">ROUND((1-$B$6) * K394,2)</f>
        <v>199.79</v>
      </c>
      <c r="M394" s="112">
        <f>L394 / M428</f>
        <v>7.5458861469038582E-5</v>
      </c>
    </row>
    <row r="395" spans="1:13" ht="39" customHeight="1">
      <c r="A395" s="108" t="s">
        <v>1097</v>
      </c>
      <c r="B395" s="108" t="s">
        <v>158</v>
      </c>
      <c r="C395" s="108" t="s">
        <v>48</v>
      </c>
      <c r="D395" s="108" t="s">
        <v>159</v>
      </c>
      <c r="E395" s="109" t="s">
        <v>138</v>
      </c>
      <c r="F395" s="110">
        <v>5.47</v>
      </c>
      <c r="G395" s="111">
        <v>13.94</v>
      </c>
      <c r="H395" s="111">
        <f>ROUND(J395/(1+$B$4),2)</f>
        <v>13.93</v>
      </c>
      <c r="I395" s="111">
        <f>TRUNC(TRUNC(G395 * B4, 2) + G395, 2)</f>
        <v>16.850000000000001</v>
      </c>
      <c r="J395" s="111">
        <f>TRUNC(L395/F395,4)</f>
        <v>16.848199999999999</v>
      </c>
      <c r="K395" s="111">
        <f t="shared" si="54"/>
        <v>92.16</v>
      </c>
      <c r="L395" s="111">
        <f t="shared" si="55"/>
        <v>92.16</v>
      </c>
      <c r="M395" s="112">
        <f>L395 / M428</f>
        <v>3.4807991756277065E-5</v>
      </c>
    </row>
    <row r="396" spans="1:13" ht="24" customHeight="1">
      <c r="A396" s="103" t="s">
        <v>1098</v>
      </c>
      <c r="B396" s="103" t="s">
        <v>30</v>
      </c>
      <c r="C396" s="103"/>
      <c r="D396" s="103" t="s">
        <v>163</v>
      </c>
      <c r="E396" s="104"/>
      <c r="F396" s="105">
        <v>1</v>
      </c>
      <c r="G396" s="105" t="s">
        <v>31</v>
      </c>
      <c r="H396" s="105"/>
      <c r="I396" s="106">
        <f>K397 + K398 + K399 + K400</f>
        <v>898.8</v>
      </c>
      <c r="J396" s="106">
        <f>L397 + L398 + L399 + L400</f>
        <v>898.8</v>
      </c>
      <c r="K396" s="106">
        <f t="shared" si="54"/>
        <v>898.8</v>
      </c>
      <c r="L396" s="106">
        <f t="shared" si="55"/>
        <v>898.8</v>
      </c>
      <c r="M396" s="107">
        <f>L396 / M428</f>
        <v>3.3946856543556669E-4</v>
      </c>
    </row>
    <row r="397" spans="1:13" ht="52" customHeight="1">
      <c r="A397" s="108" t="s">
        <v>1099</v>
      </c>
      <c r="B397" s="108" t="s">
        <v>1100</v>
      </c>
      <c r="C397" s="108" t="s">
        <v>48</v>
      </c>
      <c r="D397" s="108" t="s">
        <v>1101</v>
      </c>
      <c r="E397" s="109" t="s">
        <v>70</v>
      </c>
      <c r="F397" s="110">
        <v>0.18479999999999999</v>
      </c>
      <c r="G397" s="111">
        <v>991.8</v>
      </c>
      <c r="H397" s="111">
        <f>ROUND(J397/(1+$B$4),2)</f>
        <v>991.78</v>
      </c>
      <c r="I397" s="111">
        <f>TRUNC(TRUNC(G397 * B4, 2) + G397, 2)</f>
        <v>1199.48</v>
      </c>
      <c r="J397" s="111">
        <f>TRUNC(L397/F397,4)</f>
        <v>1199.4588000000001</v>
      </c>
      <c r="K397" s="111">
        <f t="shared" si="54"/>
        <v>221.66</v>
      </c>
      <c r="L397" s="111">
        <f t="shared" si="55"/>
        <v>221.66</v>
      </c>
      <c r="M397" s="112">
        <f>L397 / M428</f>
        <v>8.3718961075264484E-5</v>
      </c>
    </row>
    <row r="398" spans="1:13" ht="39" customHeight="1">
      <c r="A398" s="108" t="s">
        <v>1102</v>
      </c>
      <c r="B398" s="108" t="s">
        <v>166</v>
      </c>
      <c r="C398" s="108" t="s">
        <v>48</v>
      </c>
      <c r="D398" s="108" t="s">
        <v>167</v>
      </c>
      <c r="E398" s="109" t="s">
        <v>138</v>
      </c>
      <c r="F398" s="110">
        <v>11.37</v>
      </c>
      <c r="G398" s="111">
        <v>11.62</v>
      </c>
      <c r="H398" s="111">
        <f>ROUND(J398/(1+$B$4),2)</f>
        <v>11.62</v>
      </c>
      <c r="I398" s="111">
        <f>TRUNC(TRUNC(G398 * B4, 2) + G398, 2)</f>
        <v>14.05</v>
      </c>
      <c r="J398" s="111">
        <f>TRUNC(L398/F398,4)</f>
        <v>14.049200000000001</v>
      </c>
      <c r="K398" s="111">
        <f t="shared" si="54"/>
        <v>159.74</v>
      </c>
      <c r="L398" s="111">
        <f t="shared" si="55"/>
        <v>159.74</v>
      </c>
      <c r="M398" s="112">
        <f>L398 / M428</f>
        <v>6.0332341614015834E-5</v>
      </c>
    </row>
    <row r="399" spans="1:13" ht="39" customHeight="1">
      <c r="A399" s="108" t="s">
        <v>1103</v>
      </c>
      <c r="B399" s="108" t="s">
        <v>158</v>
      </c>
      <c r="C399" s="108" t="s">
        <v>48</v>
      </c>
      <c r="D399" s="108" t="s">
        <v>159</v>
      </c>
      <c r="E399" s="109" t="s">
        <v>138</v>
      </c>
      <c r="F399" s="110">
        <v>2.3199999999999998</v>
      </c>
      <c r="G399" s="111">
        <v>13.94</v>
      </c>
      <c r="H399" s="111">
        <f>ROUND(J399/(1+$B$4),2)</f>
        <v>13.93</v>
      </c>
      <c r="I399" s="111">
        <f>TRUNC(TRUNC(G399 * B4, 2) + G399, 2)</f>
        <v>16.850000000000001</v>
      </c>
      <c r="J399" s="111">
        <f>TRUNC(L399/F399,4)</f>
        <v>16.8491</v>
      </c>
      <c r="K399" s="111">
        <f t="shared" si="54"/>
        <v>39.090000000000003</v>
      </c>
      <c r="L399" s="111">
        <f t="shared" si="55"/>
        <v>39.090000000000003</v>
      </c>
      <c r="M399" s="112">
        <f>L399 / M428</f>
        <v>1.4763936607561532E-5</v>
      </c>
    </row>
    <row r="400" spans="1:13" ht="52" customHeight="1">
      <c r="A400" s="108" t="s">
        <v>1104</v>
      </c>
      <c r="B400" s="108" t="s">
        <v>1105</v>
      </c>
      <c r="C400" s="108" t="s">
        <v>48</v>
      </c>
      <c r="D400" s="108" t="s">
        <v>1106</v>
      </c>
      <c r="E400" s="109" t="s">
        <v>49</v>
      </c>
      <c r="F400" s="110">
        <v>2.64</v>
      </c>
      <c r="G400" s="111">
        <v>149.81</v>
      </c>
      <c r="H400" s="111">
        <f>ROUND(J400/(1+$B$4),2)</f>
        <v>149.81</v>
      </c>
      <c r="I400" s="111">
        <f>TRUNC(TRUNC(G400 * B4, 2) + G400, 2)</f>
        <v>181.18</v>
      </c>
      <c r="J400" s="111">
        <f>TRUNC(L400/F400,4)</f>
        <v>181.178</v>
      </c>
      <c r="K400" s="111">
        <f t="shared" si="54"/>
        <v>478.31</v>
      </c>
      <c r="L400" s="111">
        <f t="shared" si="55"/>
        <v>478.31</v>
      </c>
      <c r="M400" s="112">
        <f>L400 / M428</f>
        <v>1.8065332613872488E-4</v>
      </c>
    </row>
    <row r="401" spans="1:13" ht="24" customHeight="1">
      <c r="A401" s="103" t="s">
        <v>1107</v>
      </c>
      <c r="B401" s="103" t="s">
        <v>30</v>
      </c>
      <c r="C401" s="103"/>
      <c r="D401" s="103" t="s">
        <v>1108</v>
      </c>
      <c r="E401" s="104"/>
      <c r="F401" s="105">
        <v>1</v>
      </c>
      <c r="G401" s="105" t="s">
        <v>31</v>
      </c>
      <c r="H401" s="105"/>
      <c r="I401" s="106">
        <f>K402 + K403 + K404 + K405 + K406 + K407</f>
        <v>3536.91</v>
      </c>
      <c r="J401" s="106">
        <f>L402 + L403 + L404 + L405 + L406 + L407</f>
        <v>3536.91</v>
      </c>
      <c r="K401" s="106">
        <f t="shared" si="54"/>
        <v>3536.91</v>
      </c>
      <c r="L401" s="106">
        <f t="shared" si="55"/>
        <v>3536.91</v>
      </c>
      <c r="M401" s="107">
        <f>L401 / M428</f>
        <v>1.335858660185481E-3</v>
      </c>
    </row>
    <row r="402" spans="1:13" ht="52" customHeight="1">
      <c r="A402" s="108" t="s">
        <v>1109</v>
      </c>
      <c r="B402" s="108" t="s">
        <v>1110</v>
      </c>
      <c r="C402" s="108" t="s">
        <v>48</v>
      </c>
      <c r="D402" s="108" t="s">
        <v>1111</v>
      </c>
      <c r="E402" s="109" t="s">
        <v>49</v>
      </c>
      <c r="F402" s="110">
        <v>9.66</v>
      </c>
      <c r="G402" s="111">
        <v>72.19</v>
      </c>
      <c r="H402" s="111">
        <f t="shared" ref="H402:H407" si="56">ROUND(J402/(1+$B$4),2)</f>
        <v>72.180000000000007</v>
      </c>
      <c r="I402" s="111">
        <f>TRUNC(TRUNC(G402 * B4, 2) + G402, 2)</f>
        <v>87.3</v>
      </c>
      <c r="J402" s="111">
        <f t="shared" ref="J402:J407" si="57">TRUNC(L402/F402,4)</f>
        <v>87.299099999999996</v>
      </c>
      <c r="K402" s="111">
        <f t="shared" si="54"/>
        <v>843.31</v>
      </c>
      <c r="L402" s="111">
        <f t="shared" si="55"/>
        <v>843.31</v>
      </c>
      <c r="M402" s="112">
        <f>L402 / M428</f>
        <v>3.1851049835054267E-4</v>
      </c>
    </row>
    <row r="403" spans="1:13" ht="52" customHeight="1">
      <c r="A403" s="108" t="s">
        <v>1112</v>
      </c>
      <c r="B403" s="108" t="s">
        <v>237</v>
      </c>
      <c r="C403" s="108" t="s">
        <v>48</v>
      </c>
      <c r="D403" s="108" t="s">
        <v>238</v>
      </c>
      <c r="E403" s="109" t="s">
        <v>49</v>
      </c>
      <c r="F403" s="110">
        <v>27</v>
      </c>
      <c r="G403" s="111">
        <v>5.0599999999999996</v>
      </c>
      <c r="H403" s="111">
        <f t="shared" si="56"/>
        <v>5.05</v>
      </c>
      <c r="I403" s="111">
        <f>TRUNC(TRUNC(G403 * B4, 2) + G403, 2)</f>
        <v>6.11</v>
      </c>
      <c r="J403" s="111">
        <f t="shared" si="57"/>
        <v>6.11</v>
      </c>
      <c r="K403" s="111">
        <f t="shared" si="54"/>
        <v>164.97</v>
      </c>
      <c r="L403" s="111">
        <f t="shared" si="55"/>
        <v>164.97</v>
      </c>
      <c r="M403" s="112">
        <f>L403 / M428</f>
        <v>6.230766493091393E-5</v>
      </c>
    </row>
    <row r="404" spans="1:13" ht="65" customHeight="1">
      <c r="A404" s="108" t="s">
        <v>1113</v>
      </c>
      <c r="B404" s="108" t="s">
        <v>1114</v>
      </c>
      <c r="C404" s="108" t="s">
        <v>48</v>
      </c>
      <c r="D404" s="108" t="s">
        <v>1115</v>
      </c>
      <c r="E404" s="109" t="s">
        <v>49</v>
      </c>
      <c r="F404" s="110">
        <v>27</v>
      </c>
      <c r="G404" s="111">
        <v>44.35</v>
      </c>
      <c r="H404" s="111">
        <f t="shared" si="56"/>
        <v>44.34</v>
      </c>
      <c r="I404" s="111">
        <f>TRUNC(TRUNC(G404 * B4, 2) + G404, 2)</f>
        <v>53.63</v>
      </c>
      <c r="J404" s="111">
        <f t="shared" si="57"/>
        <v>53.63</v>
      </c>
      <c r="K404" s="111">
        <f t="shared" si="54"/>
        <v>1448.01</v>
      </c>
      <c r="L404" s="111">
        <f t="shared" si="55"/>
        <v>1448.01</v>
      </c>
      <c r="M404" s="112">
        <f>L404 / M428</f>
        <v>5.4690017516283379E-4</v>
      </c>
    </row>
    <row r="405" spans="1:13" ht="26" customHeight="1">
      <c r="A405" s="108" t="s">
        <v>1116</v>
      </c>
      <c r="B405" s="108" t="s">
        <v>226</v>
      </c>
      <c r="C405" s="108" t="s">
        <v>48</v>
      </c>
      <c r="D405" s="108" t="s">
        <v>227</v>
      </c>
      <c r="E405" s="109" t="s">
        <v>1117</v>
      </c>
      <c r="F405" s="110">
        <v>27</v>
      </c>
      <c r="G405" s="111">
        <v>20.54</v>
      </c>
      <c r="H405" s="111">
        <f t="shared" si="56"/>
        <v>20.54</v>
      </c>
      <c r="I405" s="111">
        <f>TRUNC(TRUNC(G405 * B4, 2) + G405, 2)</f>
        <v>24.84</v>
      </c>
      <c r="J405" s="111">
        <f t="shared" si="57"/>
        <v>24.84</v>
      </c>
      <c r="K405" s="111">
        <f t="shared" si="54"/>
        <v>670.68</v>
      </c>
      <c r="L405" s="111">
        <f t="shared" si="55"/>
        <v>670.68</v>
      </c>
      <c r="M405" s="112">
        <f>L405 / M428</f>
        <v>2.5330972125759446E-4</v>
      </c>
    </row>
    <row r="406" spans="1:13" ht="26" customHeight="1">
      <c r="A406" s="108" t="s">
        <v>1118</v>
      </c>
      <c r="B406" s="108" t="s">
        <v>228</v>
      </c>
      <c r="C406" s="108" t="s">
        <v>48</v>
      </c>
      <c r="D406" s="108" t="s">
        <v>229</v>
      </c>
      <c r="E406" s="109" t="s">
        <v>49</v>
      </c>
      <c r="F406" s="110">
        <v>27</v>
      </c>
      <c r="G406" s="111">
        <v>12.03</v>
      </c>
      <c r="H406" s="111">
        <f t="shared" si="56"/>
        <v>12.02</v>
      </c>
      <c r="I406" s="111">
        <f>TRUNC(TRUNC(G406 * B4, 2) + G406, 2)</f>
        <v>14.54</v>
      </c>
      <c r="J406" s="111">
        <f t="shared" si="57"/>
        <v>14.54</v>
      </c>
      <c r="K406" s="111">
        <f t="shared" si="54"/>
        <v>392.58</v>
      </c>
      <c r="L406" s="111">
        <f t="shared" si="55"/>
        <v>392.58</v>
      </c>
      <c r="M406" s="112">
        <f>L406 / M428</f>
        <v>1.4827388675867244E-4</v>
      </c>
    </row>
    <row r="407" spans="1:13" ht="39" customHeight="1">
      <c r="A407" s="108" t="s">
        <v>1119</v>
      </c>
      <c r="B407" s="108" t="s">
        <v>377</v>
      </c>
      <c r="C407" s="108" t="s">
        <v>48</v>
      </c>
      <c r="D407" s="108" t="s">
        <v>378</v>
      </c>
      <c r="E407" s="109" t="s">
        <v>49</v>
      </c>
      <c r="F407" s="110">
        <v>0.08</v>
      </c>
      <c r="G407" s="111">
        <v>179.48</v>
      </c>
      <c r="H407" s="111">
        <f t="shared" si="56"/>
        <v>179.43</v>
      </c>
      <c r="I407" s="111">
        <f>TRUNC(TRUNC(G407 * B4, 2) + G407, 2)</f>
        <v>217.06</v>
      </c>
      <c r="J407" s="111">
        <f t="shared" si="57"/>
        <v>217</v>
      </c>
      <c r="K407" s="111">
        <f t="shared" si="54"/>
        <v>17.36</v>
      </c>
      <c r="L407" s="111">
        <f t="shared" si="55"/>
        <v>17.36</v>
      </c>
      <c r="M407" s="112">
        <f>L407 / M428</f>
        <v>6.5567137249237187E-6</v>
      </c>
    </row>
    <row r="408" spans="1:13" ht="24" customHeight="1">
      <c r="A408" s="103" t="s">
        <v>1120</v>
      </c>
      <c r="B408" s="103" t="s">
        <v>30</v>
      </c>
      <c r="C408" s="103"/>
      <c r="D408" s="103" t="s">
        <v>168</v>
      </c>
      <c r="E408" s="104"/>
      <c r="F408" s="105">
        <v>1</v>
      </c>
      <c r="G408" s="105" t="s">
        <v>31</v>
      </c>
      <c r="H408" s="105"/>
      <c r="I408" s="106">
        <f>K409 + K410</f>
        <v>453.92999999999995</v>
      </c>
      <c r="J408" s="106">
        <f>L409 + L410</f>
        <v>453.92999999999995</v>
      </c>
      <c r="K408" s="106">
        <f t="shared" si="54"/>
        <v>453.93</v>
      </c>
      <c r="L408" s="106">
        <f t="shared" si="55"/>
        <v>453.93</v>
      </c>
      <c r="M408" s="107">
        <f>L408 / M428</f>
        <v>1.71445222416741E-4</v>
      </c>
    </row>
    <row r="409" spans="1:13" ht="52" customHeight="1">
      <c r="A409" s="108" t="s">
        <v>1121</v>
      </c>
      <c r="B409" s="108" t="s">
        <v>1122</v>
      </c>
      <c r="C409" s="108" t="s">
        <v>48</v>
      </c>
      <c r="D409" s="108" t="s">
        <v>1123</v>
      </c>
      <c r="E409" s="109" t="s">
        <v>49</v>
      </c>
      <c r="F409" s="110">
        <v>5.76</v>
      </c>
      <c r="G409" s="111">
        <v>24.09</v>
      </c>
      <c r="H409" s="111">
        <f>ROUND(J409/(1+$B$4),2)</f>
        <v>24.09</v>
      </c>
      <c r="I409" s="111">
        <f>TRUNC(TRUNC(G409 * B4, 2) + G409, 2)</f>
        <v>29.13</v>
      </c>
      <c r="J409" s="111">
        <f>TRUNC(L409/F409,4)</f>
        <v>29.128399999999999</v>
      </c>
      <c r="K409" s="111">
        <f t="shared" si="54"/>
        <v>167.78</v>
      </c>
      <c r="L409" s="111">
        <f t="shared" si="55"/>
        <v>167.78</v>
      </c>
      <c r="M409" s="112">
        <f>L409 / M428</f>
        <v>6.3368976311503546E-5</v>
      </c>
    </row>
    <row r="410" spans="1:13" ht="52" customHeight="1">
      <c r="A410" s="108" t="s">
        <v>1124</v>
      </c>
      <c r="B410" s="108" t="s">
        <v>1125</v>
      </c>
      <c r="C410" s="108" t="s">
        <v>48</v>
      </c>
      <c r="D410" s="108" t="s">
        <v>1126</v>
      </c>
      <c r="E410" s="109" t="s">
        <v>49</v>
      </c>
      <c r="F410" s="110">
        <v>5.76</v>
      </c>
      <c r="G410" s="111">
        <v>41.08</v>
      </c>
      <c r="H410" s="111">
        <f>ROUND(J410/(1+$B$4),2)</f>
        <v>41.08</v>
      </c>
      <c r="I410" s="111">
        <f>TRUNC(TRUNC(G410 * B4, 2) + G410, 2)</f>
        <v>49.68</v>
      </c>
      <c r="J410" s="111">
        <f>TRUNC(L410/F410,4)</f>
        <v>49.678800000000003</v>
      </c>
      <c r="K410" s="111">
        <f t="shared" si="54"/>
        <v>286.14999999999998</v>
      </c>
      <c r="L410" s="111">
        <f t="shared" si="55"/>
        <v>286.14999999999998</v>
      </c>
      <c r="M410" s="112">
        <f>L410 / M428</f>
        <v>1.0807624610523744E-4</v>
      </c>
    </row>
    <row r="411" spans="1:13" ht="24" customHeight="1">
      <c r="A411" s="103" t="s">
        <v>1127</v>
      </c>
      <c r="B411" s="103" t="s">
        <v>30</v>
      </c>
      <c r="C411" s="103"/>
      <c r="D411" s="103" t="s">
        <v>200</v>
      </c>
      <c r="E411" s="104"/>
      <c r="F411" s="105">
        <v>1</v>
      </c>
      <c r="G411" s="105" t="s">
        <v>31</v>
      </c>
      <c r="H411" s="105"/>
      <c r="I411" s="106">
        <f>K412</f>
        <v>1304.9000000000001</v>
      </c>
      <c r="J411" s="106">
        <f>L412</f>
        <v>1304.9000000000001</v>
      </c>
      <c r="K411" s="106">
        <f t="shared" si="54"/>
        <v>1304.9000000000001</v>
      </c>
      <c r="L411" s="106">
        <f t="shared" si="55"/>
        <v>1304.9000000000001</v>
      </c>
      <c r="M411" s="107">
        <f>L411 / M428</f>
        <v>4.9284883292931801E-4</v>
      </c>
    </row>
    <row r="412" spans="1:13" ht="39" customHeight="1">
      <c r="A412" s="108" t="s">
        <v>1128</v>
      </c>
      <c r="B412" s="108" t="s">
        <v>202</v>
      </c>
      <c r="C412" s="108" t="s">
        <v>48</v>
      </c>
      <c r="D412" s="108" t="s">
        <v>203</v>
      </c>
      <c r="E412" s="109" t="s">
        <v>49</v>
      </c>
      <c r="F412" s="110">
        <v>1.68</v>
      </c>
      <c r="G412" s="111">
        <v>642.25</v>
      </c>
      <c r="H412" s="111">
        <f>ROUND(J412/(1+$B$4),2)</f>
        <v>642.24</v>
      </c>
      <c r="I412" s="111">
        <f>TRUNC(TRUNC(G412 * B4, 2) + G412, 2)</f>
        <v>776.73</v>
      </c>
      <c r="J412" s="111">
        <f>TRUNC(L412/F412,4)</f>
        <v>776.72609999999997</v>
      </c>
      <c r="K412" s="111">
        <f t="shared" si="54"/>
        <v>1304.9000000000001</v>
      </c>
      <c r="L412" s="111">
        <f t="shared" si="55"/>
        <v>1304.9000000000001</v>
      </c>
      <c r="M412" s="112">
        <f>L412 / M428</f>
        <v>4.9284883292931801E-4</v>
      </c>
    </row>
    <row r="413" spans="1:13" ht="24" customHeight="1">
      <c r="A413" s="103" t="s">
        <v>17</v>
      </c>
      <c r="B413" s="103" t="s">
        <v>30</v>
      </c>
      <c r="C413" s="103"/>
      <c r="D413" s="103" t="s">
        <v>20</v>
      </c>
      <c r="E413" s="104"/>
      <c r="F413" s="105">
        <v>1</v>
      </c>
      <c r="G413" s="105" t="s">
        <v>31</v>
      </c>
      <c r="H413" s="105"/>
      <c r="I413" s="106">
        <f>K414 + K415 + K416</f>
        <v>6437.0599999999995</v>
      </c>
      <c r="J413" s="106">
        <f>L414 + L415 + L416</f>
        <v>6437.0599999999995</v>
      </c>
      <c r="K413" s="106">
        <f t="shared" si="54"/>
        <v>6437.06</v>
      </c>
      <c r="L413" s="106">
        <f t="shared" si="55"/>
        <v>6437.06</v>
      </c>
      <c r="M413" s="107">
        <f>L413 / M428</f>
        <v>2.4312188738569974E-3</v>
      </c>
    </row>
    <row r="414" spans="1:13" ht="26" customHeight="1">
      <c r="A414" s="108" t="s">
        <v>370</v>
      </c>
      <c r="B414" s="108" t="s">
        <v>382</v>
      </c>
      <c r="C414" s="108" t="s">
        <v>35</v>
      </c>
      <c r="D414" s="108" t="s">
        <v>383</v>
      </c>
      <c r="E414" s="109" t="s">
        <v>49</v>
      </c>
      <c r="F414" s="110">
        <v>608.53</v>
      </c>
      <c r="G414" s="111">
        <v>4.18</v>
      </c>
      <c r="H414" s="111">
        <f>ROUND(J414/(1+$B$4),2)</f>
        <v>4.18</v>
      </c>
      <c r="I414" s="111">
        <f>TRUNC(TRUNC(G414 * B4, 2) + G414, 2)</f>
        <v>5.05</v>
      </c>
      <c r="J414" s="111">
        <f>TRUNC(L414/F414,4)</f>
        <v>5.0499000000000001</v>
      </c>
      <c r="K414" s="111">
        <f t="shared" si="54"/>
        <v>3073.07</v>
      </c>
      <c r="L414" s="111">
        <f t="shared" si="55"/>
        <v>3073.07</v>
      </c>
      <c r="M414" s="112">
        <f>L414 / M428</f>
        <v>1.1606705211204685E-3</v>
      </c>
    </row>
    <row r="415" spans="1:13" ht="26" customHeight="1">
      <c r="A415" s="108" t="s">
        <v>376</v>
      </c>
      <c r="B415" s="108" t="s">
        <v>385</v>
      </c>
      <c r="C415" s="108" t="s">
        <v>35</v>
      </c>
      <c r="D415" s="108" t="s">
        <v>386</v>
      </c>
      <c r="E415" s="109" t="s">
        <v>36</v>
      </c>
      <c r="F415" s="110">
        <v>1</v>
      </c>
      <c r="G415" s="111">
        <v>271.47000000000003</v>
      </c>
      <c r="H415" s="111">
        <f>ROUND(J415/(1+$B$4),2)</f>
        <v>271.47000000000003</v>
      </c>
      <c r="I415" s="111">
        <f>TRUNC(TRUNC(G415 * B4, 2) + G415, 2)</f>
        <v>328.31</v>
      </c>
      <c r="J415" s="111">
        <f>TRUNC(L415/F415,4)</f>
        <v>328.31</v>
      </c>
      <c r="K415" s="111">
        <f t="shared" si="54"/>
        <v>328.31</v>
      </c>
      <c r="L415" s="111">
        <f t="shared" si="55"/>
        <v>328.31</v>
      </c>
      <c r="M415" s="112">
        <f>L415 / M428</f>
        <v>1.2399969372290935E-4</v>
      </c>
    </row>
    <row r="416" spans="1:13" ht="26" customHeight="1">
      <c r="A416" s="108" t="s">
        <v>1129</v>
      </c>
      <c r="B416" s="108" t="s">
        <v>1130</v>
      </c>
      <c r="C416" s="108" t="s">
        <v>35</v>
      </c>
      <c r="D416" s="108" t="s">
        <v>387</v>
      </c>
      <c r="E416" s="109" t="s">
        <v>36</v>
      </c>
      <c r="F416" s="110">
        <v>2</v>
      </c>
      <c r="G416" s="111">
        <v>1255.04</v>
      </c>
      <c r="H416" s="111">
        <f>ROUND(J416/(1+$B$4),2)</f>
        <v>1255.04</v>
      </c>
      <c r="I416" s="111">
        <f>TRUNC(TRUNC(G416 * B4, 2) + G416, 2)</f>
        <v>1517.84</v>
      </c>
      <c r="J416" s="111">
        <f>TRUNC(L416/F416,4)</f>
        <v>1517.84</v>
      </c>
      <c r="K416" s="111">
        <f t="shared" si="54"/>
        <v>3035.68</v>
      </c>
      <c r="L416" s="111">
        <f t="shared" si="55"/>
        <v>3035.68</v>
      </c>
      <c r="M416" s="112">
        <f>L416 / M428</f>
        <v>1.1465486590136196E-3</v>
      </c>
    </row>
    <row r="417" spans="1:13" ht="24" customHeight="1">
      <c r="A417" s="103" t="s">
        <v>18</v>
      </c>
      <c r="B417" s="103" t="s">
        <v>30</v>
      </c>
      <c r="C417" s="103"/>
      <c r="D417" s="103" t="s">
        <v>21</v>
      </c>
      <c r="E417" s="104"/>
      <c r="F417" s="105">
        <v>1</v>
      </c>
      <c r="G417" s="105" t="s">
        <v>31</v>
      </c>
      <c r="H417" s="105"/>
      <c r="I417" s="106">
        <f>K418 + K419</f>
        <v>223958.64</v>
      </c>
      <c r="J417" s="106">
        <f>L418 + L419</f>
        <v>223958.64</v>
      </c>
      <c r="K417" s="106">
        <f t="shared" si="54"/>
        <v>223958.64</v>
      </c>
      <c r="L417" s="106">
        <f t="shared" si="55"/>
        <v>223958.64</v>
      </c>
      <c r="M417" s="107">
        <f>L417 / M428</f>
        <v>8.4587136446039768E-2</v>
      </c>
    </row>
    <row r="418" spans="1:13" ht="26" customHeight="1">
      <c r="A418" s="108" t="s">
        <v>379</v>
      </c>
      <c r="B418" s="108" t="s">
        <v>1131</v>
      </c>
      <c r="C418" s="108" t="s">
        <v>35</v>
      </c>
      <c r="D418" s="108" t="s">
        <v>1132</v>
      </c>
      <c r="E418" s="109" t="s">
        <v>36</v>
      </c>
      <c r="F418" s="110">
        <v>1</v>
      </c>
      <c r="G418" s="111">
        <v>176414.58</v>
      </c>
      <c r="H418" s="111">
        <f>ROUND(J418/(1+$B$4),2)</f>
        <v>176414.58</v>
      </c>
      <c r="I418" s="111">
        <f>TRUNC(TRUNC(G418 * B4, 2) + G418, 2)</f>
        <v>213355.79</v>
      </c>
      <c r="J418" s="111">
        <f>TRUNC(L418/F418,4)</f>
        <v>213355.79</v>
      </c>
      <c r="K418" s="111">
        <f t="shared" si="54"/>
        <v>213355.79</v>
      </c>
      <c r="L418" s="111">
        <f t="shared" si="55"/>
        <v>213355.79</v>
      </c>
      <c r="M418" s="112">
        <f>L418 / M428</f>
        <v>8.0582536669639562E-2</v>
      </c>
    </row>
    <row r="419" spans="1:13" ht="52" customHeight="1">
      <c r="A419" s="108" t="s">
        <v>380</v>
      </c>
      <c r="B419" s="108" t="s">
        <v>1133</v>
      </c>
      <c r="C419" s="108" t="s">
        <v>35</v>
      </c>
      <c r="D419" s="108" t="s">
        <v>1134</v>
      </c>
      <c r="E419" s="109" t="s">
        <v>239</v>
      </c>
      <c r="F419" s="110">
        <v>1</v>
      </c>
      <c r="G419" s="111">
        <v>8767.0400000000009</v>
      </c>
      <c r="H419" s="111">
        <f>ROUND(J419/(1+$B$4),2)</f>
        <v>8767.0300000000007</v>
      </c>
      <c r="I419" s="111">
        <f>TRUNC(TRUNC(G419 * B4, 2) + G419, 2)</f>
        <v>10602.85</v>
      </c>
      <c r="J419" s="111">
        <f>TRUNC(L419/F419,4)</f>
        <v>10602.85</v>
      </c>
      <c r="K419" s="111">
        <f t="shared" si="54"/>
        <v>10602.85</v>
      </c>
      <c r="L419" s="111">
        <f t="shared" si="55"/>
        <v>10602.85</v>
      </c>
      <c r="M419" s="112">
        <f>L419 / M428</f>
        <v>4.0045997764001987E-3</v>
      </c>
    </row>
    <row r="420" spans="1:13" ht="26" customHeight="1">
      <c r="A420" s="103" t="s">
        <v>19</v>
      </c>
      <c r="B420" s="103" t="s">
        <v>30</v>
      </c>
      <c r="C420" s="103"/>
      <c r="D420" s="103" t="s">
        <v>442</v>
      </c>
      <c r="E420" s="104"/>
      <c r="F420" s="105">
        <v>1</v>
      </c>
      <c r="G420" s="105" t="s">
        <v>31</v>
      </c>
      <c r="H420" s="105"/>
      <c r="I420" s="106">
        <f>K421 + K423</f>
        <v>49396.939999999995</v>
      </c>
      <c r="J420" s="106">
        <f>L421 + L423</f>
        <v>49396.939999999995</v>
      </c>
      <c r="K420" s="106">
        <f t="shared" si="54"/>
        <v>49396.94</v>
      </c>
      <c r="L420" s="106">
        <f t="shared" si="55"/>
        <v>49396.94</v>
      </c>
      <c r="M420" s="107">
        <f>L420 / M428</f>
        <v>1.8656773874840635E-2</v>
      </c>
    </row>
    <row r="421" spans="1:13" ht="24" customHeight="1">
      <c r="A421" s="103" t="s">
        <v>381</v>
      </c>
      <c r="B421" s="103" t="s">
        <v>30</v>
      </c>
      <c r="C421" s="103"/>
      <c r="D421" s="103" t="s">
        <v>432</v>
      </c>
      <c r="E421" s="104"/>
      <c r="F421" s="105">
        <v>1</v>
      </c>
      <c r="G421" s="105" t="s">
        <v>31</v>
      </c>
      <c r="H421" s="105"/>
      <c r="I421" s="106">
        <f>K422</f>
        <v>34375.339999999997</v>
      </c>
      <c r="J421" s="106">
        <f>L422</f>
        <v>34375.339999999997</v>
      </c>
      <c r="K421" s="106">
        <f t="shared" si="54"/>
        <v>34375.339999999997</v>
      </c>
      <c r="L421" s="106">
        <f t="shared" si="55"/>
        <v>34375.339999999997</v>
      </c>
      <c r="M421" s="107">
        <f>L421 / M428</f>
        <v>1.2983252510191202E-2</v>
      </c>
    </row>
    <row r="422" spans="1:13" ht="104" customHeight="1">
      <c r="A422" s="108" t="s">
        <v>1135</v>
      </c>
      <c r="B422" s="108" t="s">
        <v>1136</v>
      </c>
      <c r="C422" s="108" t="s">
        <v>35</v>
      </c>
      <c r="D422" s="108" t="s">
        <v>1137</v>
      </c>
      <c r="E422" s="109" t="s">
        <v>36</v>
      </c>
      <c r="F422" s="110">
        <v>1</v>
      </c>
      <c r="G422" s="111">
        <v>29819</v>
      </c>
      <c r="H422" s="111">
        <f>ROUND(J422/(1+B5),2)</f>
        <v>29819</v>
      </c>
      <c r="I422" s="111">
        <f>TRUNC(TRUNC(G422 * B5, 2) + G422, 2)</f>
        <v>34375.339999999997</v>
      </c>
      <c r="J422" s="111">
        <f>TRUNC(L422/F422,4)</f>
        <v>34375.339999999997</v>
      </c>
      <c r="K422" s="111">
        <f t="shared" si="54"/>
        <v>34375.339999999997</v>
      </c>
      <c r="L422" s="111">
        <f t="shared" si="55"/>
        <v>34375.339999999997</v>
      </c>
      <c r="M422" s="112">
        <f>L422 / M428</f>
        <v>1.2983252510191202E-2</v>
      </c>
    </row>
    <row r="423" spans="1:13" ht="26" customHeight="1">
      <c r="A423" s="103" t="s">
        <v>384</v>
      </c>
      <c r="B423" s="103" t="s">
        <v>30</v>
      </c>
      <c r="C423" s="103"/>
      <c r="D423" s="103" t="s">
        <v>441</v>
      </c>
      <c r="E423" s="104"/>
      <c r="F423" s="105">
        <v>1</v>
      </c>
      <c r="G423" s="105" t="s">
        <v>31</v>
      </c>
      <c r="H423" s="105"/>
      <c r="I423" s="106">
        <f>K424</f>
        <v>15021.6</v>
      </c>
      <c r="J423" s="106">
        <f>L424</f>
        <v>15021.6</v>
      </c>
      <c r="K423" s="106">
        <f t="shared" si="54"/>
        <v>15021.6</v>
      </c>
      <c r="L423" s="106">
        <f t="shared" si="55"/>
        <v>15021.6</v>
      </c>
      <c r="M423" s="107">
        <f>L423 / M428</f>
        <v>5.6735213646494321E-3</v>
      </c>
    </row>
    <row r="424" spans="1:13" ht="39" customHeight="1">
      <c r="A424" s="113" t="s">
        <v>1138</v>
      </c>
      <c r="B424" s="113" t="s">
        <v>1139</v>
      </c>
      <c r="C424" s="113" t="s">
        <v>35</v>
      </c>
      <c r="D424" s="113" t="s">
        <v>1140</v>
      </c>
      <c r="E424" s="114" t="s">
        <v>36</v>
      </c>
      <c r="F424" s="115">
        <v>2</v>
      </c>
      <c r="G424" s="116">
        <v>6515.27</v>
      </c>
      <c r="H424" s="116">
        <f>ROUND(J424/(1+B5),2)</f>
        <v>6515.27</v>
      </c>
      <c r="I424" s="116">
        <f>TRUNC(TRUNC(G424 * B5, 2) + G424, 2)</f>
        <v>7510.8</v>
      </c>
      <c r="J424" s="116">
        <f>TRUNC(L424/F424,4)</f>
        <v>7510.8</v>
      </c>
      <c r="K424" s="116">
        <f t="shared" si="54"/>
        <v>15021.6</v>
      </c>
      <c r="L424" s="116">
        <f t="shared" si="55"/>
        <v>15021.6</v>
      </c>
      <c r="M424" s="117">
        <f>L424 / M428</f>
        <v>5.6735213646494321E-3</v>
      </c>
    </row>
    <row r="425" spans="1:13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</row>
    <row r="426" spans="1:13">
      <c r="A426" s="196"/>
      <c r="B426" s="196"/>
      <c r="C426" s="196"/>
      <c r="D426" s="120"/>
      <c r="E426" s="119"/>
      <c r="F426" s="119"/>
      <c r="G426" s="195"/>
      <c r="H426" s="195"/>
      <c r="I426" s="197"/>
      <c r="J426" s="197"/>
      <c r="K426" s="196"/>
      <c r="L426" s="196"/>
      <c r="M426" s="196"/>
    </row>
    <row r="427" spans="1:13">
      <c r="A427" s="196"/>
      <c r="B427" s="196"/>
      <c r="C427" s="196"/>
      <c r="D427" s="120"/>
      <c r="E427" s="119"/>
      <c r="F427" s="119"/>
      <c r="G427" s="195"/>
      <c r="H427" s="195"/>
      <c r="I427" s="197"/>
      <c r="J427" s="197"/>
      <c r="K427" s="196"/>
      <c r="L427" s="196"/>
      <c r="M427" s="196"/>
    </row>
    <row r="428" spans="1:13">
      <c r="A428" s="196"/>
      <c r="B428" s="196"/>
      <c r="C428" s="196"/>
      <c r="D428" s="120"/>
      <c r="E428" s="119"/>
      <c r="F428" s="119"/>
      <c r="K428" s="121"/>
      <c r="L428" s="121" t="s">
        <v>388</v>
      </c>
      <c r="M428" s="122">
        <f>L9+L36+L69+L118+L167+L199+L240+L347+L413+L417+L420</f>
        <v>2647667.83</v>
      </c>
    </row>
    <row r="429" spans="1:13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</row>
    <row r="430" spans="1:13">
      <c r="A430" s="124"/>
    </row>
    <row r="432" spans="1:13">
      <c r="A432" s="71" t="s">
        <v>1227</v>
      </c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</row>
    <row r="433" spans="1:13" ht="15.5">
      <c r="A433" s="70" t="str">
        <f>'CAPA LICITAÇÃO'!A36</f>
        <v>RESPONSÁVEL TÉCNICO PELA ELABORAÇÃO DA PLANILHA (NOME COMPLETO)</v>
      </c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</row>
    <row r="434" spans="1:13" ht="15.5">
      <c r="A434" s="70" t="str">
        <f>'CAPA LICITAÇÃO'!A37</f>
        <v>Responsável Técnico pela Elaboração da planilha e preços</v>
      </c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</row>
    <row r="435" spans="1:13" ht="15.5">
      <c r="A435" s="70" t="str">
        <f>'CAPA LICITAÇÃO'!A38</f>
        <v>FORMAÇÃO E Nº DO REGISTRO EM CONSELHO</v>
      </c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</row>
    <row r="436" spans="1:13" ht="15.5">
      <c r="A436" s="70" t="str">
        <f>'CAPA LICITAÇÃO'!A39</f>
        <v>NOME DA EMPRESA</v>
      </c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</row>
  </sheetData>
  <sheetProtection algorithmName="SHA-512" hashValue="A2kMpLLs8mL26mdG3Z5dIozw1lZ9U1km+XyOnNzwya9eOlpQKBZCGVoy7TfdNPhz+N4GeE1+AchT4NzquEna/Q==" saltValue="bMbCUZqAsTxqCyfiN4oNsA==" spinCount="100000" sheet="1" objects="1" scenarios="1"/>
  <mergeCells count="13">
    <mergeCell ref="A428:C428"/>
    <mergeCell ref="A426:C426"/>
    <mergeCell ref="G426:H426"/>
    <mergeCell ref="I426:M426"/>
    <mergeCell ref="A427:C427"/>
    <mergeCell ref="G427:H427"/>
    <mergeCell ref="I427:M427"/>
    <mergeCell ref="E1:F1"/>
    <mergeCell ref="G1:H1"/>
    <mergeCell ref="I1:M1"/>
    <mergeCell ref="E2:F2"/>
    <mergeCell ref="G2:H2"/>
    <mergeCell ref="I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35" orientation="portrait" r:id="rId1"/>
  <rowBreaks count="2" manualBreakCount="2">
    <brk id="367" max="12" man="1"/>
    <brk id="41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CE5C-66E1-4FBB-90D7-84A99BB1DBF3}">
  <dimension ref="A1:H417"/>
  <sheetViews>
    <sheetView showGridLines="0" view="pageBreakPreview" zoomScaleNormal="85" zoomScaleSheetLayoutView="100" workbookViewId="0">
      <selection activeCell="N1" sqref="N1"/>
    </sheetView>
  </sheetViews>
  <sheetFormatPr defaultRowHeight="14.5"/>
  <cols>
    <col min="1" max="1" width="4.81640625" style="7" customWidth="1"/>
    <col min="2" max="2" width="49.26953125" style="8" customWidth="1"/>
    <col min="3" max="3" width="50.54296875" style="9" customWidth="1"/>
    <col min="4" max="4" width="4.81640625" style="10" customWidth="1"/>
    <col min="5" max="5" width="12.54296875" style="1" customWidth="1"/>
    <col min="6" max="6" width="16.90625" style="1" bestFit="1" customWidth="1"/>
    <col min="7" max="7" width="11.81640625" style="1" customWidth="1"/>
    <col min="8" max="8" width="22.36328125" style="1" bestFit="1" customWidth="1"/>
    <col min="9" max="9" width="16.6328125" customWidth="1"/>
    <col min="12" max="12" width="37.54296875" customWidth="1"/>
    <col min="14" max="14" width="13.26953125" customWidth="1"/>
    <col min="16" max="16" width="21.36328125" customWidth="1"/>
    <col min="19" max="19" width="13.7265625" customWidth="1"/>
  </cols>
  <sheetData>
    <row r="1" spans="1:8" ht="36.75" customHeight="1"/>
    <row r="2" spans="1:8" ht="18.75" customHeight="1">
      <c r="B2" s="174"/>
      <c r="C2" s="174"/>
    </row>
    <row r="3" spans="1:8" ht="15.75" customHeight="1">
      <c r="B3" s="174"/>
      <c r="C3" s="174"/>
    </row>
    <row r="4" spans="1:8" ht="15.5">
      <c r="B4" s="174"/>
      <c r="C4" s="174"/>
    </row>
    <row r="5" spans="1:8" ht="15" customHeight="1">
      <c r="B5" s="174"/>
      <c r="C5" s="174"/>
      <c r="D5" s="11"/>
      <c r="E5" s="2"/>
      <c r="F5" s="2"/>
      <c r="G5" s="2"/>
      <c r="H5" s="2"/>
    </row>
    <row r="6" spans="1:8" ht="15" customHeight="1">
      <c r="D6" s="11"/>
      <c r="E6" s="2"/>
      <c r="F6" s="2"/>
      <c r="G6" s="2"/>
      <c r="H6" s="2"/>
    </row>
    <row r="7" spans="1:8" ht="15.5">
      <c r="B7" s="3"/>
      <c r="C7" s="3"/>
      <c r="D7" s="3"/>
      <c r="E7" s="3"/>
      <c r="F7" s="3"/>
      <c r="G7" s="3"/>
      <c r="H7" s="3"/>
    </row>
    <row r="8" spans="1:8" s="4" customFormat="1">
      <c r="A8" s="12"/>
      <c r="B8" s="8"/>
      <c r="C8" s="8"/>
      <c r="D8" s="10"/>
      <c r="E8" s="1"/>
      <c r="F8" s="1"/>
      <c r="G8" s="1"/>
      <c r="H8" s="1"/>
    </row>
    <row r="9" spans="1:8" s="4" customFormat="1" ht="15.5">
      <c r="A9" s="12"/>
      <c r="D9" s="10"/>
      <c r="E9" s="1"/>
      <c r="F9" s="3"/>
      <c r="G9" s="1"/>
      <c r="H9" s="1"/>
    </row>
    <row r="10" spans="1:8" s="4" customFormat="1" ht="32.5">
      <c r="A10" s="12"/>
      <c r="B10" s="13"/>
      <c r="C10" s="13"/>
      <c r="D10" s="10"/>
      <c r="E10" s="1"/>
      <c r="F10" s="1"/>
      <c r="G10" s="1"/>
      <c r="H10" s="1"/>
    </row>
    <row r="11" spans="1:8" s="4" customFormat="1" ht="33" customHeight="1">
      <c r="A11" s="12"/>
      <c r="B11" s="17"/>
      <c r="C11" s="16"/>
      <c r="D11" s="14"/>
      <c r="E11" s="5"/>
      <c r="F11" s="3"/>
      <c r="G11" s="5"/>
      <c r="H11" s="5"/>
    </row>
    <row r="12" spans="1:8" s="4" customFormat="1" ht="24" customHeight="1">
      <c r="A12" s="12"/>
      <c r="B12" s="17"/>
      <c r="C12" s="16"/>
      <c r="D12" s="14"/>
      <c r="E12" s="5"/>
      <c r="F12" s="5"/>
      <c r="G12" s="5"/>
      <c r="H12" s="5"/>
    </row>
    <row r="13" spans="1:8" s="4" customFormat="1" ht="24" customHeight="1">
      <c r="A13" s="12"/>
      <c r="B13" s="17"/>
      <c r="C13" s="16"/>
      <c r="D13" s="14"/>
      <c r="E13" s="5"/>
      <c r="F13" s="3"/>
      <c r="G13" s="5"/>
      <c r="H13" s="5"/>
    </row>
    <row r="14" spans="1:8" s="4" customFormat="1" ht="47.25" customHeight="1">
      <c r="A14" s="12"/>
      <c r="B14" s="17"/>
      <c r="C14" s="16"/>
      <c r="D14" s="11"/>
      <c r="E14" s="2"/>
      <c r="F14" s="2"/>
      <c r="G14" s="2"/>
      <c r="H14" s="2"/>
    </row>
    <row r="15" spans="1:8" ht="20.149999999999999" customHeight="1">
      <c r="B15" s="17"/>
      <c r="C15" s="16"/>
      <c r="D15" s="11"/>
      <c r="E15" s="2"/>
      <c r="F15" s="2"/>
      <c r="G15" s="2"/>
      <c r="H15" s="2"/>
    </row>
    <row r="16" spans="1:8" ht="31.5" customHeight="1">
      <c r="D16" s="14"/>
      <c r="E16" s="5"/>
      <c r="F16" s="5"/>
      <c r="G16" s="5"/>
      <c r="H16" s="5"/>
    </row>
    <row r="17" spans="2:8" ht="26.25" customHeight="1">
      <c r="B17" s="17"/>
      <c r="C17" s="16"/>
      <c r="D17" s="11"/>
      <c r="E17" s="2"/>
      <c r="F17" s="2"/>
      <c r="G17" s="2"/>
      <c r="H17" s="2"/>
    </row>
    <row r="18" spans="2:8" ht="31.5" customHeight="1">
      <c r="B18" s="31"/>
      <c r="C18" s="32"/>
      <c r="D18" s="14"/>
      <c r="E18" s="5"/>
      <c r="F18" s="5"/>
      <c r="G18" s="5"/>
      <c r="H18" s="5"/>
    </row>
    <row r="19" spans="2:8" ht="20">
      <c r="B19" s="17"/>
      <c r="C19" s="32"/>
      <c r="D19" s="33"/>
      <c r="E19" s="6"/>
      <c r="F19" s="6"/>
      <c r="G19" s="6"/>
      <c r="H19" s="6"/>
    </row>
    <row r="20" spans="2:8" ht="37.5" customHeight="1">
      <c r="B20" s="175" t="s">
        <v>438</v>
      </c>
      <c r="C20" s="176"/>
      <c r="D20" s="11"/>
      <c r="E20" s="2"/>
      <c r="F20" s="2"/>
      <c r="G20" s="2"/>
      <c r="H20" s="2"/>
    </row>
    <row r="21" spans="2:8" ht="15" customHeight="1">
      <c r="B21" s="175"/>
      <c r="C21" s="176"/>
      <c r="D21" s="11"/>
      <c r="E21" s="2"/>
      <c r="F21" s="2"/>
      <c r="G21" s="2"/>
      <c r="H21" s="2"/>
    </row>
    <row r="22" spans="2:8" ht="21" customHeight="1">
      <c r="B22" s="175"/>
      <c r="C22" s="175"/>
      <c r="D22" s="11"/>
      <c r="E22" s="2"/>
      <c r="F22" s="2"/>
      <c r="G22" s="2"/>
      <c r="H22" s="2"/>
    </row>
    <row r="23" spans="2:8" ht="27" customHeight="1">
      <c r="B23" s="17"/>
      <c r="C23" s="16"/>
      <c r="D23" s="11"/>
      <c r="E23" s="2"/>
      <c r="F23" s="2"/>
      <c r="G23" s="2"/>
      <c r="H23" s="2"/>
    </row>
    <row r="24" spans="2:8" ht="21" customHeight="1">
      <c r="B24" s="17"/>
      <c r="C24" s="16"/>
      <c r="D24" s="11"/>
      <c r="E24" s="2"/>
      <c r="F24" s="2"/>
      <c r="G24" s="2"/>
      <c r="H24" s="2"/>
    </row>
    <row r="25" spans="2:8" ht="21" customHeight="1">
      <c r="B25" s="17"/>
      <c r="C25" s="17"/>
    </row>
    <row r="26" spans="2:8" ht="27" customHeight="1">
      <c r="B26" s="17"/>
      <c r="C26" s="17"/>
    </row>
    <row r="27" spans="2:8" ht="27" customHeight="1">
      <c r="B27" s="17"/>
      <c r="C27" s="16"/>
    </row>
    <row r="28" spans="2:8" ht="27" customHeight="1">
      <c r="B28" s="17"/>
      <c r="C28" s="16"/>
    </row>
    <row r="29" spans="2:8" ht="27" customHeight="1">
      <c r="B29" s="17"/>
      <c r="C29" s="16"/>
    </row>
    <row r="30" spans="2:8" ht="27" customHeight="1">
      <c r="B30" s="17"/>
      <c r="C30" s="16"/>
    </row>
    <row r="31" spans="2:8" ht="27" customHeight="1">
      <c r="B31" s="15"/>
      <c r="C31" s="16"/>
    </row>
    <row r="36" spans="1:4">
      <c r="A36" s="151"/>
      <c r="B36" s="151"/>
      <c r="C36" s="151"/>
      <c r="D36" s="151"/>
    </row>
    <row r="37" spans="1:4" ht="15.5">
      <c r="A37" s="152"/>
      <c r="B37" s="152"/>
      <c r="C37" s="152"/>
      <c r="D37" s="152"/>
    </row>
    <row r="38" spans="1:4" ht="15.5">
      <c r="A38" s="152"/>
      <c r="B38" s="152"/>
      <c r="C38" s="152"/>
      <c r="D38" s="152"/>
    </row>
    <row r="39" spans="1:4" ht="15.5">
      <c r="A39" s="152"/>
      <c r="B39" s="152"/>
      <c r="C39" s="152"/>
      <c r="D39" s="152"/>
    </row>
    <row r="40" spans="1:4" ht="15.5">
      <c r="A40" s="152"/>
      <c r="B40" s="152"/>
      <c r="C40" s="152"/>
      <c r="D40" s="152"/>
    </row>
    <row r="199" ht="15.75" customHeight="1"/>
    <row r="205" ht="48" customHeight="1"/>
    <row r="315" ht="37.5" customHeight="1"/>
    <row r="366" ht="38.25" customHeight="1"/>
    <row r="417" ht="30" customHeight="1"/>
  </sheetData>
  <sheetProtection algorithmName="SHA-512" hashValue="wfQCW4nHa6XVIfGB5WzCJTyvP0WAm18y2F/qEA3wJriRfF678UHrDmq2VoXutAOFq7hU0Tm37Fb9R7O06MOqLA==" saltValue="3luIN0nMwp8WYgauCbZEKw==" spinCount="100000" sheet="1" objects="1" scenarios="1"/>
  <mergeCells count="10">
    <mergeCell ref="A37:D37"/>
    <mergeCell ref="A38:D38"/>
    <mergeCell ref="A39:D39"/>
    <mergeCell ref="A40:D40"/>
    <mergeCell ref="B2:C2"/>
    <mergeCell ref="B3:C3"/>
    <mergeCell ref="B4:C4"/>
    <mergeCell ref="B5:C5"/>
    <mergeCell ref="B20:C22"/>
    <mergeCell ref="A36:D3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11</vt:i4>
      </vt:variant>
    </vt:vector>
  </HeadingPairs>
  <TitlesOfParts>
    <vt:vector size="21" baseType="lpstr">
      <vt:lpstr>CAPA LICITAÇÃO</vt:lpstr>
      <vt:lpstr>RESUMO</vt:lpstr>
      <vt:lpstr>CAPA BDI</vt:lpstr>
      <vt:lpstr>BDI</vt:lpstr>
      <vt:lpstr>CAPA ENC. SOCIAIS</vt:lpstr>
      <vt:lpstr>ENCARGOS SOCIAIS</vt:lpstr>
      <vt:lpstr>CAPA PLANILHA PROPOSTA</vt:lpstr>
      <vt:lpstr>PLANILHA PROPOSTA</vt:lpstr>
      <vt:lpstr>CAPA CRONOGRAMA</vt:lpstr>
      <vt:lpstr>CRONOGRAMA</vt:lpstr>
      <vt:lpstr>BDI!Area_de_impressao</vt:lpstr>
      <vt:lpstr>'CAPA BDI'!Area_de_impressao</vt:lpstr>
      <vt:lpstr>'CAPA CRONOGRAMA'!Area_de_impressao</vt:lpstr>
      <vt:lpstr>'CAPA ENC. SOCIAIS'!Area_de_impressao</vt:lpstr>
      <vt:lpstr>'CAPA LICITAÇÃO'!Area_de_impressao</vt:lpstr>
      <vt:lpstr>'CAPA PLANILHA PROPOSTA'!Area_de_impressao</vt:lpstr>
      <vt:lpstr>CRONOGRAMA!Area_de_impressao</vt:lpstr>
      <vt:lpstr>'ENCARGOS SOCIAIS'!Area_de_impressao</vt:lpstr>
      <vt:lpstr>'PLANILHA PROPOSTA'!Area_de_impressao</vt:lpstr>
      <vt:lpstr>RESUMO!Area_de_impressao</vt:lpstr>
      <vt:lpstr>'PLANILHA 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1053233</dc:creator>
  <cp:lastModifiedBy>Felipe Oliveira</cp:lastModifiedBy>
  <cp:lastPrinted>2026-05-08T13:50:00Z</cp:lastPrinted>
  <dcterms:created xsi:type="dcterms:W3CDTF">2015-06-05T18:19:34Z</dcterms:created>
  <dcterms:modified xsi:type="dcterms:W3CDTF">2026-05-08T13:50:06Z</dcterms:modified>
</cp:coreProperties>
</file>