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d.docs.live.net/e52c961ace6be84e/PASTA DE TRABALHO/Contratação de Limpeza e Conservação 2022/"/>
    </mc:Choice>
  </mc:AlternateContent>
  <xr:revisionPtr revIDLastSave="1434" documentId="13_ncr:1_{17AD900E-398E-4CF5-AE7E-D78A3D2881E6}" xr6:coauthVersionLast="47" xr6:coauthVersionMax="47" xr10:uidLastSave="{DA3146B5-00E7-434F-874B-6485C25F8FB3}"/>
  <bookViews>
    <workbookView xWindow="-120" yWindow="-120" windowWidth="20730" windowHeight="11040" firstSheet="20" activeTab="21" xr2:uid="{00000000-000D-0000-FFFF-FFFF00000000}"/>
  </bookViews>
  <sheets>
    <sheet name="Quadro Resumo Valor Serviço" sheetId="17" r:id="rId1"/>
    <sheet name="Custo Servente SEG-DOM - ITEM 1" sheetId="3" r:id="rId2"/>
    <sheet name="Custo Encarreg SEG-DOM - ITEM 1" sheetId="5" r:id="rId3"/>
    <sheet name="Custo Servente SEG-SEX - ITEM 2" sheetId="14" r:id="rId4"/>
    <sheet name="Custo Encarreg SEG-SEX - ITEM 2" sheetId="15" r:id="rId5"/>
    <sheet name="Custo Servente SEG-SEX - ITEM 3" sheetId="19" r:id="rId6"/>
    <sheet name="Custo Serv SEG-SEX INS - ITEM 3" sheetId="16" r:id="rId7"/>
    <sheet name="Custo Encarreg SEG-SEX - ITEM 3" sheetId="20" r:id="rId8"/>
    <sheet name="Modelo Planilha - Proposta" sheetId="21" r:id="rId9"/>
    <sheet name="Memória Cálc. - Serv-Encarreg" sheetId="18" r:id="rId10"/>
    <sheet name="Materiais de Consumo" sheetId="4" r:id="rId11"/>
    <sheet name="Equipamentos" sheetId="6" r:id="rId12"/>
    <sheet name="Uniformes" sheetId="7" r:id="rId13"/>
    <sheet name="PRODUTIVIDADE IN 05-2017" sheetId="8" r:id="rId14"/>
    <sheet name="QTD SERVENTE - ITEM 1" sheetId="9" r:id="rId15"/>
    <sheet name="QTD SERVENTE ITEM 1 - PROD. MAX" sheetId="24" r:id="rId16"/>
    <sheet name="QTD SERVENTE - ITEM 2" sheetId="10" r:id="rId17"/>
    <sheet name="QTD SERVENTE ITEM 2 - PROD. MAX" sheetId="25" r:id="rId18"/>
    <sheet name="QTD SERVENTE - ITEM 3" sheetId="11" r:id="rId19"/>
    <sheet name="QTD SERVENTE ITEM 3 - PROD. MAX" sheetId="26" r:id="rId20"/>
    <sheet name="QTD TOTAL SERVENTE-ENCARREGADO" sheetId="12" r:id="rId21"/>
    <sheet name="VALOR POR METRO QUADRADO" sheetId="22" r:id="rId22"/>
    <sheet name="CÁLCULO TRANSPORTE-ALIMENTAÇÃO" sheetId="13" r:id="rId23"/>
    <sheet name="LISTA DE IMPERFEIÇÕES" sheetId="23" r:id="rId24"/>
  </sheets>
  <externalReferences>
    <externalReference r:id="rId2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6" i="26" l="1"/>
  <c r="H8" i="26"/>
  <c r="H4" i="26"/>
  <c r="G16" i="26"/>
  <c r="G8" i="26"/>
  <c r="G4" i="26"/>
  <c r="F16" i="26"/>
  <c r="F8" i="26"/>
  <c r="F4" i="26"/>
  <c r="E16" i="26"/>
  <c r="E8" i="26"/>
  <c r="E4" i="26"/>
  <c r="D16" i="26"/>
  <c r="D8" i="26"/>
  <c r="D9" i="26" s="1"/>
  <c r="D4" i="26"/>
  <c r="C16" i="26"/>
  <c r="C8" i="26"/>
  <c r="C4" i="26"/>
  <c r="H20" i="26"/>
  <c r="H12" i="26"/>
  <c r="G20" i="26"/>
  <c r="G12" i="26"/>
  <c r="F20" i="26"/>
  <c r="E20" i="26"/>
  <c r="D20" i="26"/>
  <c r="F12" i="26"/>
  <c r="E12" i="26"/>
  <c r="D13" i="26" s="1"/>
  <c r="D12" i="26"/>
  <c r="C20" i="26"/>
  <c r="C12" i="26"/>
  <c r="I19" i="26"/>
  <c r="I24" i="26" s="1"/>
  <c r="I11" i="26"/>
  <c r="I7" i="26"/>
  <c r="I3" i="26"/>
  <c r="I23" i="26" s="1"/>
  <c r="H3" i="26"/>
  <c r="C3" i="26"/>
  <c r="K58" i="25"/>
  <c r="J58" i="25"/>
  <c r="I59" i="25" s="1"/>
  <c r="I58" i="25"/>
  <c r="H58" i="25"/>
  <c r="G58" i="25"/>
  <c r="F58" i="25"/>
  <c r="E58" i="25"/>
  <c r="D58" i="25"/>
  <c r="C58" i="25"/>
  <c r="K50" i="25"/>
  <c r="J50" i="25"/>
  <c r="I50" i="25"/>
  <c r="H50" i="25"/>
  <c r="G50" i="25"/>
  <c r="F50" i="25"/>
  <c r="E50" i="25"/>
  <c r="D50" i="25"/>
  <c r="C50" i="25"/>
  <c r="C51" i="25" s="1"/>
  <c r="K42" i="25"/>
  <c r="J42" i="25"/>
  <c r="I43" i="25" s="1"/>
  <c r="I42" i="25"/>
  <c r="H42" i="25"/>
  <c r="G42" i="25"/>
  <c r="F42" i="25"/>
  <c r="E42" i="25"/>
  <c r="D42" i="25"/>
  <c r="C42" i="25"/>
  <c r="K32" i="25"/>
  <c r="J32" i="25"/>
  <c r="I32" i="25"/>
  <c r="I33" i="25" s="1"/>
  <c r="H32" i="25"/>
  <c r="G32" i="25"/>
  <c r="F32" i="25"/>
  <c r="E32" i="25"/>
  <c r="D32" i="25"/>
  <c r="C32" i="25"/>
  <c r="K24" i="25"/>
  <c r="J24" i="25"/>
  <c r="I25" i="25" s="1"/>
  <c r="I24" i="25"/>
  <c r="H24" i="25"/>
  <c r="G24" i="25"/>
  <c r="F24" i="25"/>
  <c r="E24" i="25"/>
  <c r="D24" i="25"/>
  <c r="C24" i="25"/>
  <c r="K16" i="25"/>
  <c r="I17" i="25" s="1"/>
  <c r="J16" i="25"/>
  <c r="I16" i="25"/>
  <c r="H16" i="25"/>
  <c r="G16" i="25"/>
  <c r="F16" i="25"/>
  <c r="E16" i="25"/>
  <c r="D16" i="25"/>
  <c r="C16" i="25"/>
  <c r="C17" i="25" s="1"/>
  <c r="K54" i="25"/>
  <c r="J54" i="25"/>
  <c r="I54" i="25"/>
  <c r="H54" i="25"/>
  <c r="G54" i="25"/>
  <c r="F54" i="25"/>
  <c r="E54" i="25"/>
  <c r="D54" i="25"/>
  <c r="C55" i="25" s="1"/>
  <c r="C54" i="25"/>
  <c r="K46" i="25"/>
  <c r="J46" i="25"/>
  <c r="I46" i="25"/>
  <c r="H46" i="25"/>
  <c r="G46" i="25"/>
  <c r="F46" i="25"/>
  <c r="E46" i="25"/>
  <c r="D46" i="25"/>
  <c r="C46" i="25"/>
  <c r="K36" i="25"/>
  <c r="J36" i="25"/>
  <c r="I37" i="25" s="1"/>
  <c r="I36" i="25"/>
  <c r="H36" i="25"/>
  <c r="G36" i="25"/>
  <c r="F36" i="25"/>
  <c r="E36" i="25"/>
  <c r="D36" i="25"/>
  <c r="C37" i="25" s="1"/>
  <c r="C36" i="25"/>
  <c r="K28" i="25"/>
  <c r="J28" i="25"/>
  <c r="I28" i="25"/>
  <c r="H28" i="25"/>
  <c r="G28" i="25"/>
  <c r="F28" i="25"/>
  <c r="E28" i="25"/>
  <c r="D28" i="25"/>
  <c r="C28" i="25"/>
  <c r="C29" i="25" s="1"/>
  <c r="K20" i="25"/>
  <c r="J20" i="25"/>
  <c r="I20" i="25"/>
  <c r="H20" i="25"/>
  <c r="G20" i="25"/>
  <c r="F20" i="25"/>
  <c r="E20" i="25"/>
  <c r="D20" i="25"/>
  <c r="C21" i="25" s="1"/>
  <c r="C20" i="25"/>
  <c r="K12" i="25"/>
  <c r="J12" i="25"/>
  <c r="I12" i="25"/>
  <c r="I13" i="25" s="1"/>
  <c r="H12" i="25"/>
  <c r="G12" i="25"/>
  <c r="F12" i="25"/>
  <c r="E12" i="25"/>
  <c r="D12" i="25"/>
  <c r="C12" i="25"/>
  <c r="L8" i="25"/>
  <c r="L4" i="25"/>
  <c r="K8" i="25"/>
  <c r="K4" i="25"/>
  <c r="J8" i="25"/>
  <c r="J4" i="25"/>
  <c r="I8" i="25"/>
  <c r="I4" i="25"/>
  <c r="I5" i="25" s="1"/>
  <c r="H8" i="25"/>
  <c r="H4" i="25"/>
  <c r="G8" i="25"/>
  <c r="G4" i="25"/>
  <c r="F8" i="25"/>
  <c r="F4" i="25"/>
  <c r="E8" i="25"/>
  <c r="E4" i="25"/>
  <c r="D8" i="25"/>
  <c r="D4" i="25"/>
  <c r="C8" i="25"/>
  <c r="C4" i="25"/>
  <c r="O61" i="25"/>
  <c r="L58" i="25"/>
  <c r="M57" i="25"/>
  <c r="L54" i="25"/>
  <c r="I55" i="25"/>
  <c r="M53" i="25"/>
  <c r="L50" i="25"/>
  <c r="I51" i="25"/>
  <c r="M49" i="25"/>
  <c r="L46" i="25"/>
  <c r="M45" i="25"/>
  <c r="L42" i="25"/>
  <c r="M41" i="25"/>
  <c r="L36" i="25"/>
  <c r="M35" i="25"/>
  <c r="L32" i="25"/>
  <c r="M31" i="25"/>
  <c r="L28" i="25"/>
  <c r="M27" i="25"/>
  <c r="L24" i="25"/>
  <c r="M23" i="25"/>
  <c r="L20" i="25"/>
  <c r="I21" i="25"/>
  <c r="M19" i="25"/>
  <c r="L16" i="25"/>
  <c r="M15" i="25"/>
  <c r="C13" i="25"/>
  <c r="L12" i="25"/>
  <c r="M11" i="25"/>
  <c r="M7" i="25"/>
  <c r="M3" i="25"/>
  <c r="J134" i="24"/>
  <c r="J126" i="24"/>
  <c r="J118" i="24"/>
  <c r="J110" i="24"/>
  <c r="J100" i="24"/>
  <c r="J92" i="24"/>
  <c r="J84" i="24"/>
  <c r="J76" i="24"/>
  <c r="J66" i="24"/>
  <c r="J58" i="24"/>
  <c r="J50" i="24"/>
  <c r="J42" i="24"/>
  <c r="J32" i="24"/>
  <c r="J24" i="24"/>
  <c r="J16" i="24"/>
  <c r="J130" i="24"/>
  <c r="J122" i="24"/>
  <c r="J114" i="24"/>
  <c r="J106" i="24"/>
  <c r="J96" i="24"/>
  <c r="J88" i="24"/>
  <c r="J80" i="24"/>
  <c r="J72" i="24"/>
  <c r="J62" i="24"/>
  <c r="J54" i="24"/>
  <c r="J46" i="24"/>
  <c r="J38" i="24"/>
  <c r="J28" i="24"/>
  <c r="J20" i="24"/>
  <c r="I134" i="24"/>
  <c r="H134" i="24"/>
  <c r="G134" i="24"/>
  <c r="G135" i="24" s="1"/>
  <c r="F134" i="24"/>
  <c r="E134" i="24"/>
  <c r="D134" i="24"/>
  <c r="C134" i="24"/>
  <c r="C135" i="24" s="1"/>
  <c r="I126" i="24"/>
  <c r="H126" i="24"/>
  <c r="G126" i="24"/>
  <c r="F126" i="24"/>
  <c r="E126" i="24"/>
  <c r="D126" i="24"/>
  <c r="C126" i="24"/>
  <c r="I118" i="24"/>
  <c r="G119" i="24" s="1"/>
  <c r="H118" i="24"/>
  <c r="G118" i="24"/>
  <c r="F118" i="24"/>
  <c r="E118" i="24"/>
  <c r="D118" i="24"/>
  <c r="C118" i="24"/>
  <c r="I110" i="24"/>
  <c r="H110" i="24"/>
  <c r="G111" i="24" s="1"/>
  <c r="G110" i="24"/>
  <c r="F110" i="24"/>
  <c r="E110" i="24"/>
  <c r="D110" i="24"/>
  <c r="C110" i="24"/>
  <c r="I100" i="24"/>
  <c r="H100" i="24"/>
  <c r="G100" i="24"/>
  <c r="F100" i="24"/>
  <c r="E100" i="24"/>
  <c r="D100" i="24"/>
  <c r="C100" i="24"/>
  <c r="I92" i="24"/>
  <c r="H92" i="24"/>
  <c r="G92" i="24"/>
  <c r="F92" i="24"/>
  <c r="E92" i="24"/>
  <c r="D92" i="24"/>
  <c r="C92" i="24"/>
  <c r="I84" i="24"/>
  <c r="H84" i="24"/>
  <c r="G84" i="24"/>
  <c r="F84" i="24"/>
  <c r="E84" i="24"/>
  <c r="D84" i="24"/>
  <c r="C84" i="24"/>
  <c r="I76" i="24"/>
  <c r="H76" i="24"/>
  <c r="G77" i="24" s="1"/>
  <c r="G76" i="24"/>
  <c r="F76" i="24"/>
  <c r="E76" i="24"/>
  <c r="D76" i="24"/>
  <c r="C77" i="24" s="1"/>
  <c r="C76" i="24"/>
  <c r="I66" i="24"/>
  <c r="H66" i="24"/>
  <c r="G66" i="24"/>
  <c r="F66" i="24"/>
  <c r="E66" i="24"/>
  <c r="D66" i="24"/>
  <c r="C66" i="24"/>
  <c r="C67" i="24" s="1"/>
  <c r="I58" i="24"/>
  <c r="H58" i="24"/>
  <c r="G58" i="24"/>
  <c r="F58" i="24"/>
  <c r="C59" i="24" s="1"/>
  <c r="E58" i="24"/>
  <c r="D58" i="24"/>
  <c r="C58" i="24"/>
  <c r="I50" i="24"/>
  <c r="H50" i="24"/>
  <c r="G50" i="24"/>
  <c r="F50" i="24"/>
  <c r="E50" i="24"/>
  <c r="D50" i="24"/>
  <c r="C50" i="24"/>
  <c r="I42" i="24"/>
  <c r="H42" i="24"/>
  <c r="G42" i="24"/>
  <c r="F42" i="24"/>
  <c r="E42" i="24"/>
  <c r="D42" i="24"/>
  <c r="C42" i="24"/>
  <c r="I32" i="24"/>
  <c r="H32" i="24"/>
  <c r="G32" i="24"/>
  <c r="G33" i="24" s="1"/>
  <c r="F32" i="24"/>
  <c r="E32" i="24"/>
  <c r="D32" i="24"/>
  <c r="C32" i="24"/>
  <c r="I24" i="24"/>
  <c r="H24" i="24"/>
  <c r="G24" i="24"/>
  <c r="F24" i="24"/>
  <c r="C25" i="24" s="1"/>
  <c r="E24" i="24"/>
  <c r="D24" i="24"/>
  <c r="C24" i="24"/>
  <c r="I16" i="24"/>
  <c r="H16" i="24"/>
  <c r="G16" i="24"/>
  <c r="F16" i="24"/>
  <c r="E16" i="24"/>
  <c r="D16" i="24"/>
  <c r="C16" i="24"/>
  <c r="I130" i="24"/>
  <c r="H130" i="24"/>
  <c r="G131" i="24" s="1"/>
  <c r="G130" i="24"/>
  <c r="F130" i="24"/>
  <c r="E130" i="24"/>
  <c r="D130" i="24"/>
  <c r="C131" i="24" s="1"/>
  <c r="C130" i="24"/>
  <c r="I122" i="24"/>
  <c r="H122" i="24"/>
  <c r="G122" i="24"/>
  <c r="G123" i="24" s="1"/>
  <c r="F122" i="24"/>
  <c r="E122" i="24"/>
  <c r="D122" i="24"/>
  <c r="C122" i="24"/>
  <c r="I114" i="24"/>
  <c r="H114" i="24"/>
  <c r="G114" i="24"/>
  <c r="F114" i="24"/>
  <c r="C115" i="24" s="1"/>
  <c r="E114" i="24"/>
  <c r="D114" i="24"/>
  <c r="C114" i="24"/>
  <c r="I106" i="24"/>
  <c r="H106" i="24"/>
  <c r="G106" i="24"/>
  <c r="F106" i="24"/>
  <c r="E106" i="24"/>
  <c r="C107" i="24" s="1"/>
  <c r="D106" i="24"/>
  <c r="C106" i="24"/>
  <c r="I96" i="24"/>
  <c r="H96" i="24"/>
  <c r="G97" i="24" s="1"/>
  <c r="G96" i="24"/>
  <c r="F96" i="24"/>
  <c r="E96" i="24"/>
  <c r="D96" i="24"/>
  <c r="C97" i="24" s="1"/>
  <c r="C96" i="24"/>
  <c r="I88" i="24"/>
  <c r="H88" i="24"/>
  <c r="G88" i="24"/>
  <c r="G89" i="24" s="1"/>
  <c r="F88" i="24"/>
  <c r="E88" i="24"/>
  <c r="D88" i="24"/>
  <c r="C88" i="24"/>
  <c r="I80" i="24"/>
  <c r="H80" i="24"/>
  <c r="G80" i="24"/>
  <c r="F80" i="24"/>
  <c r="C81" i="24" s="1"/>
  <c r="E80" i="24"/>
  <c r="D80" i="24"/>
  <c r="C80" i="24"/>
  <c r="I72" i="24"/>
  <c r="H72" i="24"/>
  <c r="G72" i="24"/>
  <c r="F72" i="24"/>
  <c r="E72" i="24"/>
  <c r="D72" i="24"/>
  <c r="C72" i="24"/>
  <c r="I62" i="24"/>
  <c r="H62" i="24"/>
  <c r="G63" i="24" s="1"/>
  <c r="G62" i="24"/>
  <c r="F62" i="24"/>
  <c r="E62" i="24"/>
  <c r="D62" i="24"/>
  <c r="C62" i="24"/>
  <c r="I54" i="24"/>
  <c r="H54" i="24"/>
  <c r="G54" i="24"/>
  <c r="F54" i="24"/>
  <c r="E54" i="24"/>
  <c r="D54" i="24"/>
  <c r="C54" i="24"/>
  <c r="I46" i="24"/>
  <c r="H46" i="24"/>
  <c r="G46" i="24"/>
  <c r="F46" i="24"/>
  <c r="E46" i="24"/>
  <c r="D46" i="24"/>
  <c r="C46" i="24"/>
  <c r="I38" i="24"/>
  <c r="H38" i="24"/>
  <c r="G38" i="24"/>
  <c r="F38" i="24"/>
  <c r="E38" i="24"/>
  <c r="D38" i="24"/>
  <c r="C38" i="24"/>
  <c r="I28" i="24"/>
  <c r="H28" i="24"/>
  <c r="G29" i="24" s="1"/>
  <c r="G28" i="24"/>
  <c r="F28" i="24"/>
  <c r="E28" i="24"/>
  <c r="D28" i="24"/>
  <c r="C29" i="24" s="1"/>
  <c r="C28" i="24"/>
  <c r="I20" i="24"/>
  <c r="H20" i="24"/>
  <c r="G20" i="24"/>
  <c r="G21" i="24" s="1"/>
  <c r="F20" i="24"/>
  <c r="E20" i="24"/>
  <c r="D20" i="24"/>
  <c r="C20" i="24"/>
  <c r="C21" i="24" s="1"/>
  <c r="J8" i="24"/>
  <c r="J4" i="24"/>
  <c r="I8" i="24"/>
  <c r="I4" i="24"/>
  <c r="H8" i="24"/>
  <c r="H4" i="24"/>
  <c r="G8" i="24"/>
  <c r="G4" i="24"/>
  <c r="F8" i="24"/>
  <c r="F4" i="24"/>
  <c r="E8" i="24"/>
  <c r="E4" i="24"/>
  <c r="D8" i="24"/>
  <c r="D4" i="24"/>
  <c r="C8" i="24"/>
  <c r="C12" i="24"/>
  <c r="C13" i="24" s="1"/>
  <c r="J12" i="24"/>
  <c r="I12" i="24"/>
  <c r="H12" i="24"/>
  <c r="G12" i="24"/>
  <c r="F12" i="24"/>
  <c r="E12" i="24"/>
  <c r="D12" i="24"/>
  <c r="C4" i="24"/>
  <c r="M137" i="24"/>
  <c r="K133" i="24"/>
  <c r="K129" i="24"/>
  <c r="K125" i="24"/>
  <c r="C123" i="24"/>
  <c r="K121" i="24"/>
  <c r="K117" i="24"/>
  <c r="G115" i="24"/>
  <c r="K113" i="24"/>
  <c r="C111" i="24"/>
  <c r="K109" i="24"/>
  <c r="K105" i="24"/>
  <c r="K99" i="24"/>
  <c r="K95" i="24"/>
  <c r="G93" i="24"/>
  <c r="C93" i="24"/>
  <c r="K91" i="24"/>
  <c r="K87" i="24"/>
  <c r="G85" i="24"/>
  <c r="K83" i="24"/>
  <c r="G81" i="24"/>
  <c r="K79" i="24"/>
  <c r="K75" i="24"/>
  <c r="K71" i="24"/>
  <c r="K65" i="24"/>
  <c r="K61" i="24"/>
  <c r="G59" i="24"/>
  <c r="K57" i="24"/>
  <c r="G55" i="24"/>
  <c r="K53" i="24"/>
  <c r="K49" i="24"/>
  <c r="G47" i="24"/>
  <c r="K45" i="24"/>
  <c r="K41" i="24"/>
  <c r="K37" i="24"/>
  <c r="C33" i="24"/>
  <c r="K31" i="24"/>
  <c r="K27" i="24"/>
  <c r="G25" i="24"/>
  <c r="K23" i="24"/>
  <c r="K19" i="24"/>
  <c r="K15" i="24"/>
  <c r="K11" i="24"/>
  <c r="K7" i="24"/>
  <c r="K3" i="24"/>
  <c r="G4" i="11"/>
  <c r="H3" i="11"/>
  <c r="H4" i="11" s="1"/>
  <c r="D17" i="11"/>
  <c r="C3" i="11"/>
  <c r="C4" i="11" s="1"/>
  <c r="C4" i="9"/>
  <c r="D4" i="9"/>
  <c r="E4" i="9"/>
  <c r="F4" i="9"/>
  <c r="G4" i="9"/>
  <c r="H4" i="9"/>
  <c r="I4" i="9"/>
  <c r="J4" i="9"/>
  <c r="C8" i="9"/>
  <c r="D8" i="9"/>
  <c r="E8" i="9"/>
  <c r="F8" i="9"/>
  <c r="G8" i="9"/>
  <c r="H8" i="9"/>
  <c r="I8" i="9"/>
  <c r="J8" i="9"/>
  <c r="C12" i="9"/>
  <c r="D12" i="9"/>
  <c r="E12" i="9"/>
  <c r="F12" i="9"/>
  <c r="G12" i="9"/>
  <c r="H12" i="9"/>
  <c r="I12" i="9"/>
  <c r="J12" i="9"/>
  <c r="C16" i="9"/>
  <c r="D16" i="9"/>
  <c r="E16" i="9"/>
  <c r="F16" i="9"/>
  <c r="G16" i="9"/>
  <c r="H16" i="9"/>
  <c r="I16" i="9"/>
  <c r="J16" i="9"/>
  <c r="C20" i="9"/>
  <c r="D20" i="9"/>
  <c r="E20" i="9"/>
  <c r="F20" i="9"/>
  <c r="G20" i="9"/>
  <c r="H20" i="9"/>
  <c r="I20" i="9"/>
  <c r="J20" i="9"/>
  <c r="C24" i="9"/>
  <c r="D24" i="9"/>
  <c r="E24" i="9"/>
  <c r="F24" i="9"/>
  <c r="G24" i="9"/>
  <c r="H24" i="9"/>
  <c r="I24" i="9"/>
  <c r="J24" i="9"/>
  <c r="C28" i="9"/>
  <c r="D28" i="9"/>
  <c r="E28" i="9"/>
  <c r="F28" i="9"/>
  <c r="G28" i="9"/>
  <c r="H28" i="9"/>
  <c r="I28" i="9"/>
  <c r="J28" i="9"/>
  <c r="C32" i="9"/>
  <c r="D32" i="9"/>
  <c r="E32" i="9"/>
  <c r="F32" i="9"/>
  <c r="G32" i="9"/>
  <c r="H32" i="9"/>
  <c r="I32" i="9"/>
  <c r="J32" i="9"/>
  <c r="C36" i="9"/>
  <c r="D36" i="9"/>
  <c r="E36" i="9"/>
  <c r="F36" i="9"/>
  <c r="G36" i="9"/>
  <c r="H36" i="9"/>
  <c r="I36" i="9"/>
  <c r="J36" i="9"/>
  <c r="C42" i="9"/>
  <c r="D42" i="9"/>
  <c r="E42" i="9"/>
  <c r="F42" i="9"/>
  <c r="G42" i="9"/>
  <c r="H42" i="9"/>
  <c r="I42" i="9"/>
  <c r="J42" i="9"/>
  <c r="C46" i="9"/>
  <c r="D46" i="9"/>
  <c r="E46" i="9"/>
  <c r="F46" i="9"/>
  <c r="G46" i="9"/>
  <c r="H46" i="9"/>
  <c r="I46" i="9"/>
  <c r="J46" i="9"/>
  <c r="C50" i="9"/>
  <c r="D50" i="9"/>
  <c r="E50" i="9"/>
  <c r="F50" i="9"/>
  <c r="G50" i="9"/>
  <c r="H50" i="9"/>
  <c r="I50" i="9"/>
  <c r="J50" i="9"/>
  <c r="C54" i="9"/>
  <c r="D54" i="9"/>
  <c r="E54" i="9"/>
  <c r="F54" i="9"/>
  <c r="G54" i="9"/>
  <c r="H54" i="9"/>
  <c r="I54" i="9"/>
  <c r="J54" i="9"/>
  <c r="C58" i="9"/>
  <c r="D58" i="9"/>
  <c r="E58" i="9"/>
  <c r="F58" i="9"/>
  <c r="G58" i="9"/>
  <c r="H58" i="9"/>
  <c r="I58" i="9"/>
  <c r="J58" i="9"/>
  <c r="C62" i="9"/>
  <c r="D62" i="9"/>
  <c r="E62" i="9"/>
  <c r="F62" i="9"/>
  <c r="G62" i="9"/>
  <c r="H62" i="9"/>
  <c r="I62" i="9"/>
  <c r="J62" i="9"/>
  <c r="C66" i="9"/>
  <c r="D66" i="9"/>
  <c r="E66" i="9"/>
  <c r="F66" i="9"/>
  <c r="G66" i="9"/>
  <c r="H66" i="9"/>
  <c r="I66" i="9"/>
  <c r="J66" i="9"/>
  <c r="C70" i="9"/>
  <c r="D70" i="9"/>
  <c r="E70" i="9"/>
  <c r="F70" i="9"/>
  <c r="G70" i="9"/>
  <c r="H70" i="9"/>
  <c r="I70" i="9"/>
  <c r="J70" i="9"/>
  <c r="C74" i="9"/>
  <c r="D74" i="9"/>
  <c r="E74" i="9"/>
  <c r="F74" i="9"/>
  <c r="G74" i="9"/>
  <c r="H74" i="9"/>
  <c r="I74" i="9"/>
  <c r="J74" i="9"/>
  <c r="C80" i="9"/>
  <c r="D80" i="9"/>
  <c r="E80" i="9"/>
  <c r="F80" i="9"/>
  <c r="G80" i="9"/>
  <c r="H80" i="9"/>
  <c r="I80" i="9"/>
  <c r="J80" i="9"/>
  <c r="C84" i="9"/>
  <c r="D84" i="9"/>
  <c r="E84" i="9"/>
  <c r="F84" i="9"/>
  <c r="G84" i="9"/>
  <c r="H84" i="9"/>
  <c r="I84" i="9"/>
  <c r="J84" i="9"/>
  <c r="C88" i="9"/>
  <c r="D88" i="9"/>
  <c r="E88" i="9"/>
  <c r="F88" i="9"/>
  <c r="G88" i="9"/>
  <c r="H88" i="9"/>
  <c r="I88" i="9"/>
  <c r="J88" i="9"/>
  <c r="C92" i="9"/>
  <c r="D92" i="9"/>
  <c r="E92" i="9"/>
  <c r="F92" i="9"/>
  <c r="G92" i="9"/>
  <c r="H92" i="9"/>
  <c r="I92" i="9"/>
  <c r="J92" i="9"/>
  <c r="C96" i="9"/>
  <c r="D96" i="9"/>
  <c r="E96" i="9"/>
  <c r="F96" i="9"/>
  <c r="G96" i="9"/>
  <c r="H96" i="9"/>
  <c r="I96" i="9"/>
  <c r="J96" i="9"/>
  <c r="C100" i="9"/>
  <c r="D100" i="9"/>
  <c r="E100" i="9"/>
  <c r="F100" i="9"/>
  <c r="G100" i="9"/>
  <c r="H100" i="9"/>
  <c r="I100" i="9"/>
  <c r="J100" i="9"/>
  <c r="C104" i="9"/>
  <c r="D104" i="9"/>
  <c r="E104" i="9"/>
  <c r="F104" i="9"/>
  <c r="G104" i="9"/>
  <c r="H104" i="9"/>
  <c r="I104" i="9"/>
  <c r="J104" i="9"/>
  <c r="C108" i="9"/>
  <c r="D108" i="9"/>
  <c r="E108" i="9"/>
  <c r="F108" i="9"/>
  <c r="G108" i="9"/>
  <c r="H108" i="9"/>
  <c r="I108" i="9"/>
  <c r="J108" i="9"/>
  <c r="C112" i="9"/>
  <c r="D112" i="9"/>
  <c r="E112" i="9"/>
  <c r="F112" i="9"/>
  <c r="G112" i="9"/>
  <c r="H112" i="9"/>
  <c r="I112" i="9"/>
  <c r="J112" i="9"/>
  <c r="C118" i="9"/>
  <c r="D118" i="9"/>
  <c r="E118" i="9"/>
  <c r="F118" i="9"/>
  <c r="G118" i="9"/>
  <c r="H118" i="9"/>
  <c r="I118" i="9"/>
  <c r="J118" i="9"/>
  <c r="C122" i="9"/>
  <c r="D122" i="9"/>
  <c r="E122" i="9"/>
  <c r="F122" i="9"/>
  <c r="G122" i="9"/>
  <c r="H122" i="9"/>
  <c r="I122" i="9"/>
  <c r="J122" i="9"/>
  <c r="C126" i="9"/>
  <c r="D126" i="9"/>
  <c r="E126" i="9"/>
  <c r="F126" i="9"/>
  <c r="G126" i="9"/>
  <c r="H126" i="9"/>
  <c r="I126" i="9"/>
  <c r="J126" i="9"/>
  <c r="C130" i="9"/>
  <c r="D130" i="9"/>
  <c r="E130" i="9"/>
  <c r="F130" i="9"/>
  <c r="G130" i="9"/>
  <c r="H130" i="9"/>
  <c r="I130" i="9"/>
  <c r="J130" i="9"/>
  <c r="C134" i="9"/>
  <c r="D134" i="9"/>
  <c r="E134" i="9"/>
  <c r="F134" i="9"/>
  <c r="G134" i="9"/>
  <c r="H134" i="9"/>
  <c r="I134" i="9"/>
  <c r="J134" i="9"/>
  <c r="C4" i="10"/>
  <c r="D4" i="10"/>
  <c r="E4" i="10"/>
  <c r="F4" i="10"/>
  <c r="G4" i="10"/>
  <c r="H4" i="10"/>
  <c r="I4" i="10"/>
  <c r="J4" i="10"/>
  <c r="K4" i="10"/>
  <c r="L4" i="10"/>
  <c r="C8" i="10"/>
  <c r="D8" i="10"/>
  <c r="E8" i="10"/>
  <c r="F8" i="10"/>
  <c r="G8" i="10"/>
  <c r="H8" i="10"/>
  <c r="I8" i="10"/>
  <c r="J8" i="10"/>
  <c r="K8" i="10"/>
  <c r="L8" i="10"/>
  <c r="C12" i="10"/>
  <c r="D12" i="10"/>
  <c r="E12" i="10"/>
  <c r="F12" i="10"/>
  <c r="G12" i="10"/>
  <c r="H12" i="10"/>
  <c r="I12" i="10"/>
  <c r="J12" i="10"/>
  <c r="K12" i="10"/>
  <c r="L12" i="10"/>
  <c r="C16" i="10"/>
  <c r="D16" i="10"/>
  <c r="E16" i="10"/>
  <c r="F16" i="10"/>
  <c r="G16" i="10"/>
  <c r="H16" i="10"/>
  <c r="I16" i="10"/>
  <c r="J16" i="10"/>
  <c r="K16" i="10"/>
  <c r="L16" i="10"/>
  <c r="C20" i="10"/>
  <c r="D20" i="10"/>
  <c r="E20" i="10"/>
  <c r="F20" i="10"/>
  <c r="G20" i="10"/>
  <c r="H20" i="10"/>
  <c r="I20" i="10"/>
  <c r="J20" i="10"/>
  <c r="K20" i="10"/>
  <c r="L20" i="10"/>
  <c r="C24" i="10"/>
  <c r="D24" i="10"/>
  <c r="E24" i="10"/>
  <c r="F24" i="10"/>
  <c r="G24" i="10"/>
  <c r="H24" i="10"/>
  <c r="I24" i="10"/>
  <c r="J24" i="10"/>
  <c r="K24" i="10"/>
  <c r="L24" i="10"/>
  <c r="C28" i="10"/>
  <c r="D28" i="10"/>
  <c r="E28" i="10"/>
  <c r="F28" i="10"/>
  <c r="G28" i="10"/>
  <c r="H28" i="10"/>
  <c r="I28" i="10"/>
  <c r="J28" i="10"/>
  <c r="K28" i="10"/>
  <c r="L28" i="10"/>
  <c r="C32" i="10"/>
  <c r="D32" i="10"/>
  <c r="E32" i="10"/>
  <c r="F32" i="10"/>
  <c r="G32" i="10"/>
  <c r="H32" i="10"/>
  <c r="I32" i="10"/>
  <c r="J32" i="10"/>
  <c r="K32" i="10"/>
  <c r="L32" i="10"/>
  <c r="C36" i="10"/>
  <c r="D36" i="10"/>
  <c r="E36" i="10"/>
  <c r="F36" i="10"/>
  <c r="G36" i="10"/>
  <c r="H36" i="10"/>
  <c r="I36" i="10"/>
  <c r="J36" i="10"/>
  <c r="K36" i="10"/>
  <c r="L36" i="10"/>
  <c r="C40" i="10"/>
  <c r="D40" i="10"/>
  <c r="E40" i="10"/>
  <c r="F40" i="10"/>
  <c r="G40" i="10"/>
  <c r="H40" i="10"/>
  <c r="I40" i="10"/>
  <c r="J40" i="10"/>
  <c r="K40" i="10"/>
  <c r="L40" i="10"/>
  <c r="C44" i="10"/>
  <c r="D44" i="10"/>
  <c r="E44" i="10"/>
  <c r="F44" i="10"/>
  <c r="G44" i="10"/>
  <c r="H44" i="10"/>
  <c r="I44" i="10"/>
  <c r="J44" i="10"/>
  <c r="K44" i="10"/>
  <c r="L44" i="10"/>
  <c r="C50" i="10"/>
  <c r="D50" i="10"/>
  <c r="E50" i="10"/>
  <c r="F50" i="10"/>
  <c r="G50" i="10"/>
  <c r="H50" i="10"/>
  <c r="I50" i="10"/>
  <c r="J50" i="10"/>
  <c r="K50" i="10"/>
  <c r="L50" i="10"/>
  <c r="C54" i="10"/>
  <c r="D54" i="10"/>
  <c r="E54" i="10"/>
  <c r="F54" i="10"/>
  <c r="G54" i="10"/>
  <c r="H54" i="10"/>
  <c r="I54" i="10"/>
  <c r="J54" i="10"/>
  <c r="K54" i="10"/>
  <c r="L54" i="10"/>
  <c r="C58" i="10"/>
  <c r="D58" i="10"/>
  <c r="E58" i="10"/>
  <c r="F58" i="10"/>
  <c r="G58" i="10"/>
  <c r="H58" i="10"/>
  <c r="I58" i="10"/>
  <c r="J58" i="10"/>
  <c r="K58" i="10"/>
  <c r="L58" i="10"/>
  <c r="D4" i="11"/>
  <c r="E4" i="11"/>
  <c r="F4" i="11"/>
  <c r="C8" i="11"/>
  <c r="D8" i="11"/>
  <c r="E8" i="11"/>
  <c r="F8" i="11"/>
  <c r="G8" i="11"/>
  <c r="H8" i="11"/>
  <c r="C12" i="11"/>
  <c r="D12" i="11"/>
  <c r="E12" i="11"/>
  <c r="F12" i="11"/>
  <c r="G12" i="11"/>
  <c r="H12" i="11"/>
  <c r="C16" i="11"/>
  <c r="D16" i="11"/>
  <c r="E16" i="11"/>
  <c r="F16" i="11"/>
  <c r="G16" i="11"/>
  <c r="H16" i="11"/>
  <c r="C20" i="11"/>
  <c r="D20" i="11"/>
  <c r="E20" i="11"/>
  <c r="F20" i="11"/>
  <c r="G20" i="11"/>
  <c r="H20" i="11"/>
  <c r="G237" i="4"/>
  <c r="G210" i="4"/>
  <c r="G200" i="4"/>
  <c r="G203" i="4"/>
  <c r="G257" i="4"/>
  <c r="G219" i="4"/>
  <c r="G202" i="4"/>
  <c r="C142" i="21"/>
  <c r="C130" i="21"/>
  <c r="C70" i="21"/>
  <c r="C59" i="21"/>
  <c r="C35" i="21"/>
  <c r="C109" i="9" l="1"/>
  <c r="C39" i="24"/>
  <c r="G39" i="24"/>
  <c r="C73" i="24"/>
  <c r="G73" i="24"/>
  <c r="G107" i="24"/>
  <c r="C17" i="24"/>
  <c r="G17" i="24"/>
  <c r="C43" i="24"/>
  <c r="C51" i="24"/>
  <c r="G51" i="24"/>
  <c r="C85" i="24"/>
  <c r="C119" i="24"/>
  <c r="I29" i="25"/>
  <c r="C43" i="25"/>
  <c r="D21" i="26"/>
  <c r="G13" i="24"/>
  <c r="C55" i="24"/>
  <c r="C63" i="24"/>
  <c r="C89" i="24"/>
  <c r="G67" i="24"/>
  <c r="C101" i="24"/>
  <c r="G101" i="24"/>
  <c r="C47" i="25"/>
  <c r="I47" i="25"/>
  <c r="C47" i="24"/>
  <c r="C127" i="24"/>
  <c r="C25" i="25"/>
  <c r="C33" i="25"/>
  <c r="C59" i="25"/>
  <c r="D17" i="26"/>
  <c r="D5" i="26"/>
  <c r="I25" i="26"/>
  <c r="G127" i="24"/>
  <c r="M61" i="25"/>
  <c r="I9" i="25"/>
  <c r="C9" i="25"/>
  <c r="C5" i="25"/>
  <c r="G43" i="24"/>
  <c r="K137" i="24"/>
  <c r="G9" i="24"/>
  <c r="C9" i="24"/>
  <c r="G5" i="24"/>
  <c r="C5" i="24"/>
  <c r="C45" i="21"/>
  <c r="G290" i="4"/>
  <c r="G291" i="4"/>
  <c r="G192" i="4"/>
  <c r="G193" i="4"/>
  <c r="G95" i="4"/>
  <c r="C13" i="15" l="1"/>
  <c r="C13" i="20"/>
  <c r="C138" i="20"/>
  <c r="C142" i="20" s="1"/>
  <c r="C66" i="20"/>
  <c r="D65" i="20"/>
  <c r="C65" i="20" s="1"/>
  <c r="C70" i="20" s="1"/>
  <c r="C78" i="20" s="1"/>
  <c r="C59" i="20"/>
  <c r="C43" i="20"/>
  <c r="C35" i="20"/>
  <c r="C148" i="20" s="1"/>
  <c r="C138" i="19"/>
  <c r="C142" i="19" s="1"/>
  <c r="C66" i="19"/>
  <c r="D65" i="19"/>
  <c r="C65" i="19" s="1"/>
  <c r="C70" i="19" s="1"/>
  <c r="C78" i="19" s="1"/>
  <c r="C59" i="19"/>
  <c r="C35" i="19"/>
  <c r="C148" i="19" s="1"/>
  <c r="K129" i="9"/>
  <c r="C30" i="16"/>
  <c r="G131" i="9" l="1"/>
  <c r="C43" i="19"/>
  <c r="C131" i="9"/>
  <c r="D59" i="21"/>
  <c r="C44" i="20"/>
  <c r="C45" i="20" s="1"/>
  <c r="C44" i="19"/>
  <c r="C45" i="19" s="1"/>
  <c r="I11" i="11"/>
  <c r="C13" i="5"/>
  <c r="C22" i="17"/>
  <c r="C14" i="17"/>
  <c r="C7" i="17"/>
  <c r="O61" i="10"/>
  <c r="M137" i="9"/>
  <c r="C79" i="21" l="1"/>
  <c r="C76" i="20"/>
  <c r="C90" i="20"/>
  <c r="C86" i="20"/>
  <c r="D58" i="20"/>
  <c r="D56" i="20"/>
  <c r="D54" i="20"/>
  <c r="D52" i="20"/>
  <c r="D51" i="20"/>
  <c r="D55" i="20"/>
  <c r="C89" i="20"/>
  <c r="D53" i="20"/>
  <c r="D57" i="20"/>
  <c r="C87" i="20"/>
  <c r="C76" i="19"/>
  <c r="C90" i="19"/>
  <c r="C86" i="19"/>
  <c r="D58" i="19"/>
  <c r="D56" i="19"/>
  <c r="D54" i="19"/>
  <c r="D52" i="19"/>
  <c r="D51" i="19"/>
  <c r="D55" i="19"/>
  <c r="C89" i="19"/>
  <c r="D53" i="19"/>
  <c r="D57" i="19"/>
  <c r="C87" i="19"/>
  <c r="D13" i="11"/>
  <c r="C91" i="21" l="1"/>
  <c r="D59" i="20"/>
  <c r="D59" i="19"/>
  <c r="C58" i="18"/>
  <c r="C77" i="20" l="1"/>
  <c r="C79" i="20" s="1"/>
  <c r="C85" i="20"/>
  <c r="C77" i="19"/>
  <c r="C79" i="19" s="1"/>
  <c r="C85" i="19"/>
  <c r="G54" i="4"/>
  <c r="C105" i="21" l="1"/>
  <c r="C120" i="21" s="1"/>
  <c r="C149" i="20"/>
  <c r="C88" i="20"/>
  <c r="C91" i="20" s="1"/>
  <c r="C149" i="19"/>
  <c r="C88" i="19"/>
  <c r="C91" i="19" s="1"/>
  <c r="C138" i="16"/>
  <c r="C142" i="16" s="1"/>
  <c r="C66" i="16"/>
  <c r="D65" i="16"/>
  <c r="C65" i="16" s="1"/>
  <c r="C70" i="16" s="1"/>
  <c r="C78" i="16" s="1"/>
  <c r="C59" i="16"/>
  <c r="C35" i="16"/>
  <c r="C43" i="16" s="1"/>
  <c r="C66" i="15"/>
  <c r="C138" i="15"/>
  <c r="C142" i="15" s="1"/>
  <c r="D65" i="15"/>
  <c r="C65" i="15" s="1"/>
  <c r="C70" i="15" s="1"/>
  <c r="C78" i="15" s="1"/>
  <c r="C59" i="15"/>
  <c r="C35" i="15"/>
  <c r="C148" i="15" s="1"/>
  <c r="C66" i="14"/>
  <c r="C138" i="14"/>
  <c r="C142" i="14" s="1"/>
  <c r="D65" i="14"/>
  <c r="C59" i="14"/>
  <c r="C35" i="14"/>
  <c r="C148" i="14" s="1"/>
  <c r="C138" i="5"/>
  <c r="C142" i="5" s="1"/>
  <c r="C66" i="5"/>
  <c r="D65" i="5"/>
  <c r="C59" i="5"/>
  <c r="C35" i="5"/>
  <c r="C43" i="5" s="1"/>
  <c r="C66" i="3"/>
  <c r="I49" i="13"/>
  <c r="I38" i="13"/>
  <c r="I25" i="13"/>
  <c r="I12" i="13"/>
  <c r="C43" i="15" l="1"/>
  <c r="C153" i="21"/>
  <c r="C150" i="20"/>
  <c r="C101" i="20"/>
  <c r="C102" i="20"/>
  <c r="C103" i="20"/>
  <c r="C99" i="20"/>
  <c r="C100" i="20"/>
  <c r="C150" i="19"/>
  <c r="C101" i="19"/>
  <c r="C102" i="19"/>
  <c r="C103" i="19"/>
  <c r="C99" i="19"/>
  <c r="C100" i="19"/>
  <c r="C148" i="5"/>
  <c r="C148" i="16"/>
  <c r="C43" i="14"/>
  <c r="C65" i="14"/>
  <c r="C70" i="14" s="1"/>
  <c r="C78" i="14" s="1"/>
  <c r="C44" i="16"/>
  <c r="C45" i="16" s="1"/>
  <c r="C44" i="15"/>
  <c r="C44" i="14"/>
  <c r="C44" i="5"/>
  <c r="C45" i="5" s="1"/>
  <c r="N18" i="7"/>
  <c r="F17" i="7" s="1"/>
  <c r="G17" i="7" s="1"/>
  <c r="N17" i="7"/>
  <c r="F16" i="7" s="1"/>
  <c r="G16" i="7" s="1"/>
  <c r="N16" i="7"/>
  <c r="F15" i="7" s="1"/>
  <c r="G15" i="7" s="1"/>
  <c r="N15" i="7"/>
  <c r="N14" i="7"/>
  <c r="M5" i="7"/>
  <c r="F5" i="7" s="1"/>
  <c r="G5" i="7" s="1"/>
  <c r="M6" i="7"/>
  <c r="F6" i="7" s="1"/>
  <c r="G6" i="7" s="1"/>
  <c r="M7" i="7"/>
  <c r="F7" i="7" s="1"/>
  <c r="G7" i="7" s="1"/>
  <c r="M8" i="7"/>
  <c r="F8" i="7" s="1"/>
  <c r="G8" i="7" s="1"/>
  <c r="M4" i="7"/>
  <c r="F4" i="7" s="1"/>
  <c r="G4" i="7" s="1"/>
  <c r="D65" i="3"/>
  <c r="C65" i="5" s="1"/>
  <c r="C70" i="5" s="1"/>
  <c r="C78" i="5" s="1"/>
  <c r="C45" i="14" l="1"/>
  <c r="C86" i="14" s="1"/>
  <c r="C45" i="15"/>
  <c r="C105" i="20"/>
  <c r="C118" i="20" s="1"/>
  <c r="C120" i="20" s="1"/>
  <c r="C105" i="19"/>
  <c r="C118" i="19" s="1"/>
  <c r="C120" i="19" s="1"/>
  <c r="M14" i="7"/>
  <c r="F14" i="7" s="1"/>
  <c r="G14" i="7" s="1"/>
  <c r="C76" i="16"/>
  <c r="C90" i="16"/>
  <c r="C86" i="16"/>
  <c r="D58" i="16"/>
  <c r="D56" i="16"/>
  <c r="D54" i="16"/>
  <c r="D52" i="16"/>
  <c r="D51" i="16"/>
  <c r="D55" i="16"/>
  <c r="C89" i="16"/>
  <c r="D53" i="16"/>
  <c r="D57" i="16"/>
  <c r="C87" i="16"/>
  <c r="C76" i="15"/>
  <c r="C90" i="15"/>
  <c r="C86" i="15"/>
  <c r="D58" i="15"/>
  <c r="D56" i="15"/>
  <c r="D54" i="15"/>
  <c r="D52" i="15"/>
  <c r="D51" i="15"/>
  <c r="D55" i="15"/>
  <c r="C89" i="15"/>
  <c r="D53" i="15"/>
  <c r="D57" i="15"/>
  <c r="C87" i="15"/>
  <c r="C90" i="14"/>
  <c r="D54" i="14"/>
  <c r="C76" i="5"/>
  <c r="C90" i="5"/>
  <c r="C86" i="5"/>
  <c r="D58" i="5"/>
  <c r="D56" i="5"/>
  <c r="D54" i="5"/>
  <c r="D52" i="5"/>
  <c r="D51" i="5"/>
  <c r="D55" i="5"/>
  <c r="C89" i="5"/>
  <c r="D53" i="5"/>
  <c r="D57" i="5"/>
  <c r="C87" i="5"/>
  <c r="I19" i="11"/>
  <c r="I24" i="11" s="1"/>
  <c r="D6" i="12" s="1"/>
  <c r="I7" i="11"/>
  <c r="I3" i="11"/>
  <c r="M57" i="10"/>
  <c r="M53" i="10"/>
  <c r="M49" i="10"/>
  <c r="M43" i="10"/>
  <c r="M39" i="10"/>
  <c r="M35" i="10"/>
  <c r="M31" i="10"/>
  <c r="M27" i="10"/>
  <c r="M23" i="10"/>
  <c r="M19" i="10"/>
  <c r="M15" i="10"/>
  <c r="M11" i="10"/>
  <c r="M7" i="10"/>
  <c r="M3" i="10"/>
  <c r="K133" i="9"/>
  <c r="K125" i="9"/>
  <c r="K121" i="9"/>
  <c r="K117" i="9"/>
  <c r="K111" i="9"/>
  <c r="K107" i="9"/>
  <c r="K103" i="9"/>
  <c r="K99" i="9"/>
  <c r="K95" i="9"/>
  <c r="K91" i="9"/>
  <c r="K87" i="9"/>
  <c r="K83" i="9"/>
  <c r="K79" i="9"/>
  <c r="K73" i="9"/>
  <c r="K69" i="9"/>
  <c r="K65" i="9"/>
  <c r="K61" i="9"/>
  <c r="K57" i="9"/>
  <c r="K53" i="9"/>
  <c r="K49" i="9"/>
  <c r="K45" i="9"/>
  <c r="K41" i="9"/>
  <c r="K35" i="9"/>
  <c r="K31" i="9"/>
  <c r="K27" i="9"/>
  <c r="K23" i="9"/>
  <c r="K19" i="9"/>
  <c r="K15" i="9"/>
  <c r="K11" i="9"/>
  <c r="K7" i="9"/>
  <c r="K3" i="9"/>
  <c r="C76" i="14" l="1"/>
  <c r="C87" i="14"/>
  <c r="C89" i="14"/>
  <c r="D55" i="14"/>
  <c r="D56" i="14"/>
  <c r="D51" i="14"/>
  <c r="K137" i="9"/>
  <c r="C6" i="17" s="1"/>
  <c r="D52" i="14"/>
  <c r="D57" i="14"/>
  <c r="D58" i="14"/>
  <c r="D53" i="14"/>
  <c r="D142" i="21"/>
  <c r="C155" i="21" s="1"/>
  <c r="C151" i="20"/>
  <c r="C151" i="19"/>
  <c r="C135" i="9"/>
  <c r="I23" i="11"/>
  <c r="C20" i="17" s="1"/>
  <c r="C21" i="17"/>
  <c r="C13" i="16"/>
  <c r="M61" i="10"/>
  <c r="C13" i="14" s="1"/>
  <c r="I5" i="10"/>
  <c r="C9" i="10"/>
  <c r="I9" i="10"/>
  <c r="I13" i="10"/>
  <c r="C17" i="10"/>
  <c r="I17" i="10"/>
  <c r="I21" i="10"/>
  <c r="C25" i="10"/>
  <c r="I25" i="10"/>
  <c r="I29" i="10"/>
  <c r="C33" i="10"/>
  <c r="I33" i="10"/>
  <c r="I37" i="10"/>
  <c r="G5" i="9"/>
  <c r="C9" i="9"/>
  <c r="G9" i="9"/>
  <c r="G13" i="9"/>
  <c r="C17" i="9"/>
  <c r="G17" i="9"/>
  <c r="G21" i="9"/>
  <c r="C25" i="9"/>
  <c r="G25" i="9"/>
  <c r="G29" i="9"/>
  <c r="C33" i="9"/>
  <c r="G33" i="9"/>
  <c r="G37" i="9"/>
  <c r="C43" i="9"/>
  <c r="G43" i="9"/>
  <c r="G47" i="9"/>
  <c r="C51" i="9"/>
  <c r="G51" i="9"/>
  <c r="G55" i="9"/>
  <c r="C59" i="9"/>
  <c r="G59" i="9"/>
  <c r="G63" i="9"/>
  <c r="C67" i="9"/>
  <c r="G67" i="9"/>
  <c r="G71" i="9"/>
  <c r="C75" i="9"/>
  <c r="G75" i="9"/>
  <c r="G81" i="9"/>
  <c r="C85" i="9"/>
  <c r="G85" i="9"/>
  <c r="G89" i="9"/>
  <c r="C93" i="9"/>
  <c r="G93" i="9"/>
  <c r="G97" i="9"/>
  <c r="C101" i="9"/>
  <c r="G101" i="9"/>
  <c r="G105" i="9"/>
  <c r="G109" i="9"/>
  <c r="C59" i="10"/>
  <c r="I41" i="10"/>
  <c r="C45" i="10"/>
  <c r="I45" i="10"/>
  <c r="G113" i="9"/>
  <c r="D59" i="16"/>
  <c r="D59" i="15"/>
  <c r="D59" i="5"/>
  <c r="I51" i="10"/>
  <c r="C55" i="10"/>
  <c r="I59" i="10"/>
  <c r="D5" i="11"/>
  <c r="D9" i="11"/>
  <c r="D21" i="11"/>
  <c r="C119" i="9"/>
  <c r="G119" i="9"/>
  <c r="G123" i="9"/>
  <c r="C127" i="9"/>
  <c r="G127" i="9"/>
  <c r="C5" i="9"/>
  <c r="C13" i="9"/>
  <c r="C21" i="9"/>
  <c r="C29" i="9"/>
  <c r="C37" i="9"/>
  <c r="C47" i="9"/>
  <c r="C55" i="9"/>
  <c r="C63" i="9"/>
  <c r="C71" i="9"/>
  <c r="C81" i="9"/>
  <c r="C89" i="9"/>
  <c r="C97" i="9"/>
  <c r="C105" i="9"/>
  <c r="C113" i="9"/>
  <c r="C123" i="9"/>
  <c r="I55" i="10"/>
  <c r="G135" i="9"/>
  <c r="C5" i="10"/>
  <c r="C13" i="10"/>
  <c r="C21" i="10"/>
  <c r="C29" i="10"/>
  <c r="C37" i="10"/>
  <c r="C41" i="10"/>
  <c r="C51" i="10"/>
  <c r="D59" i="14" l="1"/>
  <c r="C6" i="12"/>
  <c r="I25" i="11"/>
  <c r="C13" i="17"/>
  <c r="C5" i="12"/>
  <c r="C13" i="3"/>
  <c r="C4" i="12"/>
  <c r="C77" i="16"/>
  <c r="C79" i="16" s="1"/>
  <c r="C85" i="16"/>
  <c r="C77" i="15"/>
  <c r="C79" i="15" s="1"/>
  <c r="C85" i="15"/>
  <c r="C77" i="14"/>
  <c r="C79" i="14" s="1"/>
  <c r="C85" i="14"/>
  <c r="C77" i="5"/>
  <c r="C79" i="5" s="1"/>
  <c r="C85" i="5"/>
  <c r="C7" i="12" l="1"/>
  <c r="C13" i="19"/>
  <c r="G5" i="12"/>
  <c r="E5" i="12"/>
  <c r="G4" i="12"/>
  <c r="E4" i="12"/>
  <c r="C149" i="16"/>
  <c r="C88" i="16"/>
  <c r="C91" i="16" s="1"/>
  <c r="C149" i="15"/>
  <c r="C88" i="15"/>
  <c r="C91" i="15" s="1"/>
  <c r="C149" i="14"/>
  <c r="C88" i="14"/>
  <c r="C91" i="14" s="1"/>
  <c r="C149" i="5"/>
  <c r="C88" i="5"/>
  <c r="C91" i="5" s="1"/>
  <c r="G18" i="7"/>
  <c r="A25" i="7" s="1"/>
  <c r="E25" i="7" s="1"/>
  <c r="C126" i="20" s="1"/>
  <c r="E6" i="12" l="1"/>
  <c r="G6" i="12"/>
  <c r="G8" i="12" s="1"/>
  <c r="C126" i="5"/>
  <c r="C126" i="15"/>
  <c r="C150" i="16"/>
  <c r="C103" i="16"/>
  <c r="C99" i="16"/>
  <c r="C100" i="16"/>
  <c r="C101" i="16"/>
  <c r="C102" i="16"/>
  <c r="C150" i="15"/>
  <c r="C101" i="15"/>
  <c r="C102" i="15"/>
  <c r="C103" i="15"/>
  <c r="C99" i="15"/>
  <c r="C100" i="15"/>
  <c r="C150" i="14"/>
  <c r="C101" i="14"/>
  <c r="C102" i="14"/>
  <c r="C103" i="14"/>
  <c r="C99" i="14"/>
  <c r="C100" i="14"/>
  <c r="C150" i="5"/>
  <c r="C101" i="5"/>
  <c r="C100" i="5"/>
  <c r="C102" i="5"/>
  <c r="C103" i="5"/>
  <c r="C99" i="5"/>
  <c r="G9" i="7"/>
  <c r="A22" i="7" s="1"/>
  <c r="E22" i="7" s="1"/>
  <c r="C126" i="19" s="1"/>
  <c r="C65" i="3"/>
  <c r="C126" i="3" l="1"/>
  <c r="C126" i="14"/>
  <c r="C126" i="16"/>
  <c r="C105" i="5"/>
  <c r="C118" i="5" s="1"/>
  <c r="C120" i="5" s="1"/>
  <c r="C151" i="5" s="1"/>
  <c r="C105" i="16"/>
  <c r="C118" i="16" s="1"/>
  <c r="C120" i="16" s="1"/>
  <c r="C105" i="15"/>
  <c r="C118" i="15" s="1"/>
  <c r="C120" i="15" s="1"/>
  <c r="C105" i="14"/>
  <c r="C118" i="14" s="1"/>
  <c r="C120" i="14" s="1"/>
  <c r="F44" i="6"/>
  <c r="F43" i="6"/>
  <c r="F42" i="6"/>
  <c r="F41" i="6"/>
  <c r="F40" i="6"/>
  <c r="F39" i="6"/>
  <c r="F38" i="6"/>
  <c r="F37" i="6"/>
  <c r="F27" i="6"/>
  <c r="F26" i="6"/>
  <c r="F25" i="6"/>
  <c r="F24" i="6"/>
  <c r="F23" i="6"/>
  <c r="F22" i="6"/>
  <c r="F21" i="6"/>
  <c r="F20" i="6"/>
  <c r="F4" i="6"/>
  <c r="F3" i="6"/>
  <c r="F5" i="6"/>
  <c r="F6" i="6"/>
  <c r="F7" i="6"/>
  <c r="F8" i="6"/>
  <c r="F9" i="6"/>
  <c r="F10" i="6"/>
  <c r="F28" i="6" l="1"/>
  <c r="F29" i="6" s="1"/>
  <c r="C151" i="16"/>
  <c r="C151" i="15"/>
  <c r="C151" i="14"/>
  <c r="F45" i="6"/>
  <c r="F46" i="6" s="1"/>
  <c r="F11" i="6"/>
  <c r="F12" i="6" s="1"/>
  <c r="C138" i="3"/>
  <c r="C142" i="3" s="1"/>
  <c r="F30" i="6" l="1"/>
  <c r="F31" i="6" s="1"/>
  <c r="F32" i="6" s="1"/>
  <c r="F47" i="6"/>
  <c r="F48" i="6" s="1"/>
  <c r="F49" i="6" s="1"/>
  <c r="F13" i="6"/>
  <c r="C59" i="3"/>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6" i="4"/>
  <c r="G255" i="4"/>
  <c r="G254" i="4"/>
  <c r="G253" i="4"/>
  <c r="G252" i="4"/>
  <c r="G250" i="4"/>
  <c r="G249" i="4"/>
  <c r="G248" i="4"/>
  <c r="G247" i="4"/>
  <c r="G246" i="4"/>
  <c r="G245" i="4"/>
  <c r="G244" i="4"/>
  <c r="G243" i="4"/>
  <c r="G242" i="4"/>
  <c r="G241" i="4"/>
  <c r="G240" i="4"/>
  <c r="G239" i="4"/>
  <c r="G238" i="4"/>
  <c r="G236" i="4"/>
  <c r="G235" i="4"/>
  <c r="G234" i="4"/>
  <c r="G233" i="4"/>
  <c r="G232" i="4"/>
  <c r="G231" i="4"/>
  <c r="G230" i="4"/>
  <c r="G229" i="4"/>
  <c r="G228" i="4"/>
  <c r="G227" i="4"/>
  <c r="G226" i="4"/>
  <c r="G225" i="4"/>
  <c r="G224" i="4"/>
  <c r="G223" i="4"/>
  <c r="G222" i="4"/>
  <c r="G221" i="4"/>
  <c r="G220" i="4"/>
  <c r="G218" i="4"/>
  <c r="G217" i="4"/>
  <c r="G216" i="4"/>
  <c r="G215" i="4"/>
  <c r="G214" i="4"/>
  <c r="G213" i="4"/>
  <c r="G212" i="4"/>
  <c r="G211" i="4"/>
  <c r="G209" i="4"/>
  <c r="G208" i="4"/>
  <c r="G207" i="4"/>
  <c r="G206" i="4"/>
  <c r="G205" i="4"/>
  <c r="G204" i="4"/>
  <c r="G201" i="4"/>
  <c r="G199"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C128" i="20" l="1"/>
  <c r="C128" i="16"/>
  <c r="C128" i="19"/>
  <c r="C128" i="14"/>
  <c r="C128" i="15"/>
  <c r="G194" i="4"/>
  <c r="F299" i="4" s="1"/>
  <c r="C35" i="3"/>
  <c r="F14" i="6"/>
  <c r="F15" i="6" s="1"/>
  <c r="G292" i="4"/>
  <c r="F300" i="4" s="1"/>
  <c r="G96" i="4"/>
  <c r="F298" i="4" s="1"/>
  <c r="C128" i="3" l="1"/>
  <c r="C128" i="5"/>
  <c r="C148" i="3"/>
  <c r="C44" i="3"/>
  <c r="C43" i="3"/>
  <c r="G300" i="4" l="1"/>
  <c r="G299" i="4"/>
  <c r="C127" i="15" l="1"/>
  <c r="C130" i="15" s="1"/>
  <c r="C152" i="15" s="1"/>
  <c r="C153" i="15" s="1"/>
  <c r="C127" i="14"/>
  <c r="C130" i="14" s="1"/>
  <c r="D136" i="14" s="1"/>
  <c r="D137" i="14" s="1"/>
  <c r="C127" i="16"/>
  <c r="C130" i="16" s="1"/>
  <c r="D136" i="16" s="1"/>
  <c r="D137" i="16" s="1"/>
  <c r="C127" i="20"/>
  <c r="C130" i="20" s="1"/>
  <c r="C127" i="19"/>
  <c r="C130" i="19" s="1"/>
  <c r="G298" i="4"/>
  <c r="F301" i="4"/>
  <c r="G301" i="4" s="1"/>
  <c r="C70" i="3"/>
  <c r="C152" i="16" l="1"/>
  <c r="C153" i="16" s="1"/>
  <c r="D136" i="15"/>
  <c r="D137" i="15" s="1"/>
  <c r="C152" i="14"/>
  <c r="C153" i="14" s="1"/>
  <c r="C127" i="5"/>
  <c r="C130" i="5" s="1"/>
  <c r="C127" i="3"/>
  <c r="C130" i="3" s="1"/>
  <c r="C152" i="3" s="1"/>
  <c r="C152" i="20"/>
  <c r="C153" i="20" s="1"/>
  <c r="D136" i="20"/>
  <c r="C152" i="19"/>
  <c r="C153" i="19" s="1"/>
  <c r="D136" i="19"/>
  <c r="D137" i="19" s="1"/>
  <c r="D138" i="19" s="1"/>
  <c r="D138" i="14"/>
  <c r="D142" i="14" s="1"/>
  <c r="C154" i="14" s="1"/>
  <c r="D138" i="16"/>
  <c r="D142" i="16" s="1"/>
  <c r="C154" i="16" s="1"/>
  <c r="C78" i="3"/>
  <c r="C155" i="14" l="1"/>
  <c r="K25" i="22" s="1"/>
  <c r="C155" i="16"/>
  <c r="D21" i="17" s="1"/>
  <c r="E21" i="17" s="1"/>
  <c r="F21" i="17" s="1"/>
  <c r="D137" i="20"/>
  <c r="D138" i="20" s="1"/>
  <c r="D142" i="20" s="1"/>
  <c r="C154" i="20" s="1"/>
  <c r="C155" i="20" s="1"/>
  <c r="D142" i="19"/>
  <c r="C154" i="19" s="1"/>
  <c r="C155" i="19" s="1"/>
  <c r="C152" i="5"/>
  <c r="C153" i="5" s="1"/>
  <c r="D136" i="5"/>
  <c r="D138" i="15"/>
  <c r="D142" i="15" s="1"/>
  <c r="C154" i="15" s="1"/>
  <c r="C155" i="15" s="1"/>
  <c r="C45" i="3"/>
  <c r="C34" i="22" l="1"/>
  <c r="A25" i="22"/>
  <c r="D20" i="17"/>
  <c r="E20" i="17" s="1"/>
  <c r="F20" i="17" s="1"/>
  <c r="I25" i="22"/>
  <c r="E34" i="22"/>
  <c r="C25" i="22"/>
  <c r="G34" i="22"/>
  <c r="G25" i="22"/>
  <c r="E25" i="22"/>
  <c r="A34" i="22"/>
  <c r="D13" i="17"/>
  <c r="E13" i="17" s="1"/>
  <c r="F13" i="17" s="1"/>
  <c r="K47" i="22"/>
  <c r="I58" i="22"/>
  <c r="G58" i="22"/>
  <c r="I60" i="22"/>
  <c r="G60" i="22"/>
  <c r="E60" i="22"/>
  <c r="C60" i="22"/>
  <c r="A60" i="22"/>
  <c r="K49" i="22"/>
  <c r="I56" i="22"/>
  <c r="A56" i="22"/>
  <c r="E56" i="22"/>
  <c r="C56" i="22"/>
  <c r="K45" i="22"/>
  <c r="G56" i="22"/>
  <c r="D14" i="17"/>
  <c r="E14" i="17" s="1"/>
  <c r="F14" i="17" s="1"/>
  <c r="G36" i="22"/>
  <c r="E36" i="22"/>
  <c r="E38" i="22" s="1"/>
  <c r="G27" i="22"/>
  <c r="C36" i="22"/>
  <c r="K27" i="22"/>
  <c r="K29" i="22" s="1"/>
  <c r="A27" i="22"/>
  <c r="C27" i="22"/>
  <c r="A36" i="22"/>
  <c r="I27" i="22"/>
  <c r="I29" i="22" s="1"/>
  <c r="E27" i="22"/>
  <c r="D137" i="5"/>
  <c r="D138" i="5" s="1"/>
  <c r="D142" i="5" s="1"/>
  <c r="C154" i="5" s="1"/>
  <c r="C155" i="5" s="1"/>
  <c r="D22" i="17"/>
  <c r="E22" i="17" s="1"/>
  <c r="F22" i="17" s="1"/>
  <c r="F23" i="17" s="1"/>
  <c r="D55" i="3"/>
  <c r="D52" i="3"/>
  <c r="D56" i="3"/>
  <c r="D51" i="3"/>
  <c r="D58" i="3"/>
  <c r="D54" i="3"/>
  <c r="D57" i="3"/>
  <c r="D53" i="3"/>
  <c r="C76" i="3"/>
  <c r="C89" i="3"/>
  <c r="C90" i="3"/>
  <c r="C86" i="3"/>
  <c r="C87" i="3"/>
  <c r="C38" i="22" l="1"/>
  <c r="A29" i="22"/>
  <c r="A38" i="22"/>
  <c r="F15" i="17"/>
  <c r="G38" i="22"/>
  <c r="C29" i="22"/>
  <c r="E29" i="22"/>
  <c r="G29" i="22"/>
  <c r="E62" i="22"/>
  <c r="I62" i="22"/>
  <c r="G62" i="22"/>
  <c r="C62" i="22"/>
  <c r="A62" i="22"/>
  <c r="K7" i="22"/>
  <c r="A7" i="22"/>
  <c r="G16" i="22"/>
  <c r="E7" i="22"/>
  <c r="C16" i="22"/>
  <c r="E16" i="22"/>
  <c r="I7" i="22"/>
  <c r="A16" i="22"/>
  <c r="K51" i="22"/>
  <c r="E15" i="17"/>
  <c r="D29" i="17" s="1"/>
  <c r="E29" i="17" s="1"/>
  <c r="D7" i="17"/>
  <c r="E7" i="17" s="1"/>
  <c r="F7" i="17" s="1"/>
  <c r="E23" i="17"/>
  <c r="D30" i="17" s="1"/>
  <c r="F30" i="17" s="1"/>
  <c r="D59" i="3"/>
  <c r="F29" i="17" l="1"/>
  <c r="E30" i="17"/>
  <c r="C77" i="3"/>
  <c r="C79" i="3" s="1"/>
  <c r="C85" i="3"/>
  <c r="C88" i="3" l="1"/>
  <c r="C91" i="3" s="1"/>
  <c r="C102" i="3" s="1"/>
  <c r="C149" i="3"/>
  <c r="C150" i="3" l="1"/>
  <c r="C103" i="3"/>
  <c r="C101" i="3"/>
  <c r="C99" i="3"/>
  <c r="C100" i="3"/>
  <c r="C105" i="3" l="1"/>
  <c r="C118" i="3" s="1"/>
  <c r="C120" i="3" s="1"/>
  <c r="D136" i="3" l="1"/>
  <c r="C151" i="3"/>
  <c r="C153" i="3" s="1"/>
  <c r="D137" i="3" l="1"/>
  <c r="D138" i="3" s="1"/>
  <c r="D142" i="3" l="1"/>
  <c r="C154" i="3" s="1"/>
  <c r="C155" i="3" s="1"/>
  <c r="A5" i="22" l="1"/>
  <c r="A9" i="22" s="1"/>
  <c r="A14" i="22"/>
  <c r="A18" i="22" s="1"/>
  <c r="K5" i="22"/>
  <c r="K9" i="22" s="1"/>
  <c r="E14" i="22"/>
  <c r="E18" i="22" s="1"/>
  <c r="E5" i="22"/>
  <c r="E9" i="22" s="1"/>
  <c r="G14" i="22"/>
  <c r="G18" i="22" s="1"/>
  <c r="C14" i="22"/>
  <c r="C18" i="22" s="1"/>
  <c r="I5" i="22"/>
  <c r="I9" i="22" s="1"/>
  <c r="D6" i="17"/>
  <c r="E6" i="17" s="1"/>
  <c r="F6" i="17" s="1"/>
  <c r="F8" i="17" s="1"/>
  <c r="E8" i="17" l="1"/>
  <c r="D28" i="17" s="1"/>
  <c r="F28" i="17" s="1"/>
  <c r="F31" i="17" s="1"/>
  <c r="E28" i="17" l="1"/>
  <c r="E31" i="17" s="1"/>
  <c r="D31" i="17"/>
</calcChain>
</file>

<file path=xl/sharedStrings.xml><?xml version="1.0" encoding="utf-8"?>
<sst xmlns="http://schemas.openxmlformats.org/spreadsheetml/2006/main" count="3990" uniqueCount="749">
  <si>
    <t>QUADRO RESUMO DO VALOR MENSAL E TOTAL PARA CONTRATAÇÃO DOS SERVIÇOS DE LIMPEZA E CONSERVAÇÃO POR UM PERÍODO DE 30 (TINTA) MESES</t>
  </si>
  <si>
    <t>ITEM 1 - UNIDADES OPERACIONAIS - SEGUNDA-FEIRA À DOMINGO</t>
  </si>
  <si>
    <t>DESCRIÇÃO</t>
  </si>
  <si>
    <t>Unid.</t>
  </si>
  <si>
    <t>QTD</t>
  </si>
  <si>
    <t>VALOR UNITÁRIO</t>
  </si>
  <si>
    <t>VALOR TOTAL MENSAL</t>
  </si>
  <si>
    <t>VALOR TOTAL CONTRATO        (30 MESES)</t>
  </si>
  <si>
    <t>Servente - Segunda à Domingo</t>
  </si>
  <si>
    <t>Mês</t>
  </si>
  <si>
    <t>Encarregado Segunda à Domingo</t>
  </si>
  <si>
    <t>VALOR TOTAL ITEM 1</t>
  </si>
  <si>
    <t>ITEM 2 - UNIDADES ADMINISTRATIVAS - SEGUNDA À SEXTA-FEIRA</t>
  </si>
  <si>
    <t>Servente - Segunda à Sexta-feira</t>
  </si>
  <si>
    <t>Encarregado Segunda à Sexta-feira</t>
  </si>
  <si>
    <t>VALOR TOTAL ITEM 2</t>
  </si>
  <si>
    <t>ITEM 3 - UNIDADES HOSPITALARES - SEGUNDA À SEXTA-FEIRA</t>
  </si>
  <si>
    <t>Servente - Segunda à Sexta-Feira</t>
  </si>
  <si>
    <t>Servente Insalubridade - Segunda à Sexta-Feira</t>
  </si>
  <si>
    <t>VALOR TOTAL ITEM 3</t>
  </si>
  <si>
    <t>VALOR GLOBAL PARA A CONTRATAÇÃO DOS SERVIÇOS DE LIMPEZA E CONSERVAÇÃO</t>
  </si>
  <si>
    <t>MENSAL</t>
  </si>
  <si>
    <t>ANUAL                 (12 MESES)</t>
  </si>
  <si>
    <t>GLOBAL             (30 MESES)</t>
  </si>
  <si>
    <t>ITEM 1 - UNIDADES OPERACIONAIS - SEGUNDA À DOMINGO</t>
  </si>
  <si>
    <t>VALORES GLOBAIS</t>
  </si>
  <si>
    <t>PLANILHA DE CUSTOS E FORMAÇÃO DE PREÇOS</t>
  </si>
  <si>
    <t>Com ajustes após publicação da Lei n° 13.467, de 2017.</t>
  </si>
  <si>
    <t xml:space="preserve">Nº DO PROCESSO: </t>
  </si>
  <si>
    <t>CONTRATAÇÃO</t>
  </si>
  <si>
    <t>LICITAÇÃO Nº:</t>
  </si>
  <si>
    <t>DISCRIMINAÇÃO DOS SERVIÇOS (SERVENTE DE SEGUNDA-FEIRA À DOMINGO)</t>
  </si>
  <si>
    <t>A</t>
  </si>
  <si>
    <t>DATA DE APRESENTAÇÃO DA PROPOSTA:</t>
  </si>
  <si>
    <t>B</t>
  </si>
  <si>
    <t>LOCAL DE EXECUÇÃO DO SERVIÇO - MUNICÍPIO/UF:</t>
  </si>
  <si>
    <t>BRASÍLIA - DF</t>
  </si>
  <si>
    <t>C</t>
  </si>
  <si>
    <t>ANO DO ACORDO, CONVENÇÃO OU DISSÍDIO COLETIVO:</t>
  </si>
  <si>
    <t>SEAC/Sindserviços 2022</t>
  </si>
  <si>
    <t>D</t>
  </si>
  <si>
    <t>NÚMERO DE MESES DE EXECUÇÃO CONTRATUAL:</t>
  </si>
  <si>
    <t>E</t>
  </si>
  <si>
    <t>QUANTIDADE DE SERVENTES UNIDADES OPERACIONAIS</t>
  </si>
  <si>
    <t>MÓDULO DE MÃO DE OBRA VINCULADA À EXECUÇÃO CONTRATUAL</t>
  </si>
  <si>
    <t>DADOS COMPLEMENTARES PARA COMPOSIÇÃO DOS CUSTOS REFERENTE À MÃO DE OBRA</t>
  </si>
  <si>
    <t>Tipo de Serviço (mesmo serviço com características distintas)</t>
  </si>
  <si>
    <t>LIMPEZA E CONSERVAÇÃO</t>
  </si>
  <si>
    <t>Classificação Brasileira de Ocupações</t>
  </si>
  <si>
    <t>5143-20</t>
  </si>
  <si>
    <t>Categoria Profissional (vinculada à execução contratual)</t>
  </si>
  <si>
    <t>Servente - segunda à domingo</t>
  </si>
  <si>
    <t>Data Base da Categoria (dia/mês/ano)</t>
  </si>
  <si>
    <t>Módulo 1 - Composição da Remuneração</t>
  </si>
  <si>
    <t>Composição da Remuneração</t>
  </si>
  <si>
    <t>Valor</t>
  </si>
  <si>
    <t>Salário-Base</t>
  </si>
  <si>
    <t>Adicional de Periculosidade</t>
  </si>
  <si>
    <t>Adicional de Insalubridade</t>
  </si>
  <si>
    <t>Adicional Noturno</t>
  </si>
  <si>
    <t>Adicional de Hora Noturna Reduzida</t>
  </si>
  <si>
    <t>G</t>
  </si>
  <si>
    <t>Outros (especificar)</t>
  </si>
  <si>
    <t>Total</t>
  </si>
  <si>
    <t>Módulo 2 - Encargos e Benefícios Anuais, Mensais e Diários</t>
  </si>
  <si>
    <t>Submódulo 2.1 - 13º (décimo terceiro) Salário e Adicional de Férias</t>
  </si>
  <si>
    <t>2.1</t>
  </si>
  <si>
    <t>13º (décimo terceiro) Salário, Férias e Adicional de Férias</t>
  </si>
  <si>
    <t>13º (décimo terceiro) Salário</t>
  </si>
  <si>
    <t>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</si>
  <si>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</si>
  <si>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</si>
  <si>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</si>
  <si>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</si>
  <si>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</si>
  <si>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</si>
  <si>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</si>
  <si>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</si>
  <si>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</si>
  <si>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F</t>
  </si>
  <si>
    <t>SEBRAE</t>
  </si>
  <si>
    <t>INCRA</t>
  </si>
  <si>
    <t>H</t>
  </si>
  <si>
    <t>FGTS</t>
  </si>
  <si>
    <t xml:space="preserve">Total </t>
  </si>
  <si>
    <t>Submódulo 2.3 - Benefícios Mensais e Diários.</t>
  </si>
  <si>
    <t>2.3</t>
  </si>
  <si>
    <t>Benefícios Mensais e Diários</t>
  </si>
  <si>
    <t>Transporte</t>
  </si>
  <si>
    <t>Auxílio-Refeição/Alimentação</t>
  </si>
  <si>
    <t>Plano de Saúde</t>
  </si>
  <si>
    <t>Assistência Odontológica</t>
  </si>
  <si>
    <t>Seguro de Vida</t>
  </si>
  <si>
    <t>Quadro-Resumo do Módulo 2 - Encargos e Benefícios anuais, mensais e diários</t>
  </si>
  <si>
    <t>Encargos e Benefícios Anuais, Mensais e Diários</t>
  </si>
  <si>
    <t>13º (décimo terceiro) Salário e Adicional de Férias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</si>
  <si>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</si>
  <si>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</si>
  <si>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</si>
  <si>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</si>
  <si>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</si>
  <si>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</si>
  <si>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</si>
  <si>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</si>
  <si>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</si>
  <si>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</si>
  <si>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</si>
  <si>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</si>
  <si>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</si>
  <si>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</si>
  <si>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</si>
  <si>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</si>
  <si>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</si>
  <si>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Submódulo 4.2 - Intrajornada</t>
  </si>
  <si>
    <t>4.2</t>
  </si>
  <si>
    <t>Intrajornada</t>
  </si>
  <si>
    <t>Intervalo para repouso e alimentação</t>
  </si>
  <si>
    <t>Quadro-Resumo do Módulo 4 - Custo de Reposição do Profissional Ausente</t>
  </si>
  <si>
    <t>Custo de Reposição do Profissional Ausente</t>
  </si>
  <si>
    <t>Módulo 5 - Insumos Diversos</t>
  </si>
  <si>
    <t>Insumos Diversos</t>
  </si>
  <si>
    <t>Uniformes</t>
  </si>
  <si>
    <t>Materiais</t>
  </si>
  <si>
    <t>Equipamentos</t>
  </si>
  <si>
    <t>Módulo 6 - Custos Indiretos, Tributos e Lucro</t>
  </si>
  <si>
    <t>Custos Indiretos, Tributos e Lucro</t>
  </si>
  <si>
    <t>Percentual</t>
  </si>
  <si>
    <t>Custos Indiretos</t>
  </si>
  <si>
    <t>Lucro</t>
  </si>
  <si>
    <t>Tributos</t>
  </si>
  <si>
    <t>C.1. Tributos Federais (PIS + COFINS)</t>
  </si>
  <si>
    <t>C.2. Tributos Estaduais (especificar)</t>
  </si>
  <si>
    <t>C.3. Tributos Municipais (ISS)</t>
  </si>
  <si>
    <t>2. QUADRO-RESUMO DO CUSTO POR EMPREGADO</t>
  </si>
  <si>
    <t>Mão de obra vinculada à execução contratual (valor por empregado)</t>
  </si>
  <si>
    <t>Subtotal (A + B +C+ D+E)</t>
  </si>
  <si>
    <t>Módulo 6 – Custos Indiretos, Tributos e Lucro</t>
  </si>
  <si>
    <t xml:space="preserve">Valor Total por Empregado </t>
  </si>
  <si>
    <t>DISCRIMINAÇÃO DOS SERVIÇOS (ENCARREGADO DE SEGUNDA-FEIRA À DOMINGO)</t>
  </si>
  <si>
    <t>QUANTIDADE DE ENCARREGADOS UNIDADES OPERACIONAIS</t>
  </si>
  <si>
    <t>Classificação Brasileira de Ocupações - CBO</t>
  </si>
  <si>
    <t>4101-05</t>
  </si>
  <si>
    <t>Encarregado de Limpeza - segunda à domingo</t>
  </si>
  <si>
    <t>DISCRIMINAÇÃO DOS SERVIÇOS (SERVENTE DE SEGUNDA À SEXTA-FEIRA)</t>
  </si>
  <si>
    <t>QUANTIDADE DE SERVENTES UNIDADES ADMINISTRATIVAS E HOSPITALARES ADMINISTRATIVO</t>
  </si>
  <si>
    <t>Servente - segunda à sexta-feira</t>
  </si>
  <si>
    <t>DISCRIMINAÇÃO DOS SERVIÇOS (ENCARREGADO DE SEGUNDA À SEXTA-FEIRA)</t>
  </si>
  <si>
    <t>QUANTIDADE DE ENCARREGADOS UNIDADES ADMINISTRATIVAS E HOSPITALARES ADMINISTRATIVO</t>
  </si>
  <si>
    <t>Encarregado de Limpeza - segunda à sexta-feira</t>
  </si>
  <si>
    <t>QUANTIDADE DE SERVENTES ADMINISTRATIVOS DE ÁREAS HOSPITALARES</t>
  </si>
  <si>
    <t>DATA DE PRESENTAÇÃO DA PROPOSTA:</t>
  </si>
  <si>
    <t>QUANTIDADE DE SERVENTES UNIDADES HOSPITALARES INSALUBRIDADE</t>
  </si>
  <si>
    <t>QUANTIDADE DE ENCARREGADOS UNIDADES HOSPITALARES</t>
  </si>
  <si>
    <t xml:space="preserve">MEMÓRIA DE CÁLCULO DOS CUSTOS DO SERVENTE E DO ENCARREGADO </t>
  </si>
  <si>
    <t>Fórmula</t>
  </si>
  <si>
    <t xml:space="preserve">CCT-2022 SEAC-SINDISERVIÇOS </t>
  </si>
  <si>
    <t>-</t>
  </si>
  <si>
    <t>Sálario-Base x 20%. No caso de Serventes que prestarão serviços em algumas áreas hospitalares.</t>
  </si>
  <si>
    <t>Adicional de Hora Extra no Feriado Trabalhado</t>
  </si>
  <si>
    <r>
      <rPr>
        <b/>
        <sz val="12"/>
        <color theme="1"/>
        <rFont val="Arial"/>
        <family val="2"/>
      </rPr>
      <t>Alínea 1.A. - Salário-Base:</t>
    </r>
    <r>
      <rPr>
        <sz val="12"/>
        <color theme="1"/>
        <rFont val="Arial"/>
        <family val="2"/>
      </rPr>
      <t xml:space="preserve"> Salário-Base é o salário normativo da categoria, relativo ao mês da data-base, constante dos acordos, convenções ou dissídios da categoria profissional.  Não recai em excesso  de  formalismo  a  exigência  de  cumprir  os  valores  e  normas  estabelecidas  nas Convenções Coletivas de Trabalho, nos termos do Acórdão TCU nº 963/2004‐Plenário.</t>
    </r>
  </si>
  <si>
    <r>
      <rPr>
        <b/>
        <sz val="12"/>
        <color theme="1"/>
        <rFont val="Arial"/>
        <family val="2"/>
      </rPr>
      <t>Alínea 1.C. - Adicional de Insalubridade:</t>
    </r>
    <r>
      <rPr>
        <sz val="12"/>
        <color theme="1"/>
        <rFont val="Arial"/>
        <family val="2"/>
      </rPr>
      <t xml:space="preserve"> O  adicional  de  insalubridade  é  devido  ao  empregado  que,  para  o desempenho do seu trabalho, tem de realizar  atividade insalubre, ou seja, que implique em exposição  a  agentes  nocivos  à  saúde,  acima  dos  limites  de  tolerância  considerados adequados.</t>
    </r>
  </si>
  <si>
    <r>
      <rPr>
        <b/>
        <sz val="12"/>
        <color theme="1"/>
        <rFont val="Arial"/>
        <family val="2"/>
      </rPr>
      <t>Metodologia de Cálculo:</t>
    </r>
    <r>
      <rPr>
        <sz val="12"/>
        <rFont val="Arial"/>
        <family val="2"/>
      </rPr>
      <t xml:space="preserve"> Foi aplicado adicional de insalubridade em grau médio (20%) aos empregados da POMED (hospital) e PODON, devido ao pontecial risco de contato com agentes biológicos na execução do serviço de limpeza e conservação. De acordo com o Anexo 14 da NR 15 do MTE)</t>
    </r>
  </si>
  <si>
    <r>
      <rPr>
        <b/>
        <sz val="12"/>
        <color theme="1"/>
        <rFont val="Arial"/>
        <family val="2"/>
      </rPr>
      <t xml:space="preserve">Observação: </t>
    </r>
    <r>
      <rPr>
        <sz val="12"/>
        <color theme="1"/>
        <rFont val="Arial"/>
        <family val="2"/>
      </rPr>
      <t xml:space="preserve">Enquanto não for editada lei que altere a base de cálculo do adicional de insalubridade,  continua  sendo  aplicado  o  art.  192  da  CLT  (salário  mínimo),  podendo, </t>
    </r>
    <r>
      <rPr>
        <b/>
        <u/>
        <sz val="12"/>
        <color theme="1"/>
        <rFont val="Arial"/>
        <family val="2"/>
      </rPr>
      <t>entretanto, norma coletiva fixar base de cálculo  distinta, desde que mais benéfica para o trabalhador</t>
    </r>
    <r>
      <rPr>
        <sz val="12"/>
        <color theme="1"/>
        <rFont val="Arial"/>
        <family val="2"/>
      </rPr>
      <t>.  Embora  a  Súmula  Vinculante  nº  4  do  STF  tenha  proibido  a  vinculação  de qualquer parcela remuneratória ao salário mínimo, o próprio  Supremo Tribunal Federal decidiu que não cabe ao Poder Judiciário definir a base de cálculo do adicional, mas à lei, por isso, prevalece o entendimento supracitado.</t>
    </r>
  </si>
  <si>
    <t>Mémoria de Cálculo</t>
  </si>
  <si>
    <t>(1/12) x 100</t>
  </si>
  <si>
    <t>[(1/3)/12] x 100</t>
  </si>
  <si>
    <r>
      <rPr>
        <b/>
        <sz val="12"/>
        <color theme="1"/>
        <rFont val="Arial"/>
        <family val="2"/>
      </rPr>
      <t>Alínea 2.1.A. - 13º (Décimo Terceiro) Salário:</t>
    </r>
    <r>
      <rPr>
        <sz val="12"/>
        <color theme="1"/>
        <rFont val="Arial"/>
        <family val="2"/>
      </rPr>
      <t xml:space="preserve"> Corresponde à gratificação natalina. É um direito do trabalhador garantido pela  Constituição  Federal de 1988,  sendo,  portanto,  uma gratificação  compulsória. Tem natureza salarial.</t>
    </r>
  </si>
  <si>
    <r>
      <rPr>
        <b/>
        <sz val="12"/>
        <color theme="1"/>
        <rFont val="Arial"/>
        <family val="2"/>
      </rPr>
      <t>Base de Cálculo:</t>
    </r>
    <r>
      <rPr>
        <sz val="12"/>
        <color theme="1"/>
        <rFont val="Arial"/>
        <family val="2"/>
      </rPr>
      <t xml:space="preserve"> Módulo 1</t>
    </r>
  </si>
  <si>
    <r>
      <rPr>
        <b/>
        <sz val="12"/>
        <color theme="1"/>
        <rFont val="Arial"/>
        <family val="2"/>
      </rPr>
      <t>Percentual:</t>
    </r>
    <r>
      <rPr>
        <sz val="12"/>
        <color theme="1"/>
        <rFont val="Arial"/>
        <family val="2"/>
      </rPr>
      <t xml:space="preserve"> 8,33%</t>
    </r>
  </si>
  <si>
    <t>Fórmula:</t>
  </si>
  <si>
    <t>(1/12) x 100 = 8,33%</t>
  </si>
  <si>
    <r>
      <rPr>
        <b/>
        <sz val="12"/>
        <color theme="1"/>
        <rFont val="Arial"/>
        <family val="2"/>
      </rPr>
      <t>Metodologia de Cálculo:</t>
    </r>
    <r>
      <rPr>
        <sz val="12"/>
        <color theme="1"/>
        <rFont val="Arial"/>
        <family val="2"/>
      </rPr>
      <t xml:space="preserve"> Corresponde  ao  valor  da  remuneração  mensal  percebida  no  mês  de dezembro.  Nos casos em que o empregado não trabalhou o no todo, este receberá o valor  proporcional aos meses trabalhados, na ordem de  1/12  por mês, considerando-se a fração igual ou superior a 15 dias como mês inteiro, desprezando-se a fração menor.</t>
    </r>
  </si>
  <si>
    <r>
      <rPr>
        <b/>
        <sz val="12"/>
        <color theme="1"/>
        <rFont val="Arial"/>
        <family val="2"/>
      </rPr>
      <t>Alínea 2.1.B - Adicional de Férias:</t>
    </r>
    <r>
      <rPr>
        <sz val="12"/>
        <color theme="1"/>
        <rFont val="Arial"/>
        <family val="2"/>
      </rPr>
      <t xml:space="preserve"> É o acréscimo legal equivalente a 1/3 do salário normal, devido no exercício do direito a férias.</t>
    </r>
  </si>
  <si>
    <r>
      <rPr>
        <b/>
        <sz val="12"/>
        <color theme="1"/>
        <rFont val="Arial"/>
        <family val="2"/>
      </rPr>
      <t>Percentual:</t>
    </r>
    <r>
      <rPr>
        <sz val="12"/>
        <color theme="1"/>
        <rFont val="Arial"/>
        <family val="2"/>
      </rPr>
      <t xml:space="preserve"> 2,78%</t>
    </r>
  </si>
  <si>
    <t>[(1/3)/12] x 100 = 2,78%</t>
  </si>
  <si>
    <r>
      <rPr>
        <b/>
        <sz val="12"/>
        <color theme="1"/>
        <rFont val="Arial"/>
        <family val="2"/>
      </rPr>
      <t>Metodologia de Cálculo:</t>
    </r>
    <r>
      <rPr>
        <sz val="12"/>
        <color theme="1"/>
        <rFont val="Arial"/>
        <family val="2"/>
      </rPr>
      <t xml:space="preserve"> A Constituição Federal  de 1988, em seu art. 7º, inciso XVII, prevê que as férias sejam  pagas com  adicional de, pelo menos,  1/3  (um terço) da remuneração do mês, ou seja, dividido por 12.</t>
    </r>
  </si>
  <si>
    <t>Riscos Ambientais do Trabalho</t>
  </si>
  <si>
    <t>SESC</t>
  </si>
  <si>
    <t>SENAC</t>
  </si>
  <si>
    <r>
      <rPr>
        <b/>
        <sz val="12"/>
        <color theme="1"/>
        <rFont val="Arial"/>
        <family val="2"/>
      </rPr>
      <t>Alínea 2.2.A - INSS:</t>
    </r>
    <r>
      <rPr>
        <sz val="12"/>
        <color theme="1"/>
        <rFont val="Arial"/>
        <family val="2"/>
      </rPr>
      <t xml:space="preserve"> Sob essa rubrica tem-se a contribuição do empregador para a  Seguridade Social. A contribuição previdenciária corresponde a 20% sobre o total das remunerações pagas aos empregados, sob qualquer título.</t>
    </r>
  </si>
  <si>
    <r>
      <rPr>
        <b/>
        <sz val="12"/>
        <color theme="1"/>
        <rFont val="Arial"/>
        <family val="2"/>
      </rPr>
      <t>Base de Cálculo:</t>
    </r>
    <r>
      <rPr>
        <sz val="12"/>
        <color theme="1"/>
        <rFont val="Arial"/>
        <family val="2"/>
      </rPr>
      <t xml:space="preserve"> Módulo 1 + Submódulo 2.1</t>
    </r>
  </si>
  <si>
    <r>
      <rPr>
        <b/>
        <sz val="12"/>
        <color theme="1"/>
        <rFont val="Arial"/>
        <family val="2"/>
      </rPr>
      <t>Percentual:</t>
    </r>
    <r>
      <rPr>
        <sz val="12"/>
        <color theme="1"/>
        <rFont val="Arial"/>
        <family val="2"/>
      </rPr>
      <t xml:space="preserve"> 20%</t>
    </r>
  </si>
  <si>
    <r>
      <rPr>
        <b/>
        <sz val="12"/>
        <color theme="1"/>
        <rFont val="Arial"/>
        <family val="2"/>
      </rPr>
      <t>Alínea 2.2.B - Salário Educação:</t>
    </r>
    <r>
      <rPr>
        <sz val="12"/>
        <color theme="1"/>
        <rFont val="Arial"/>
        <family val="2"/>
      </rPr>
      <t xml:space="preserve"> A  finalidade  do  salário  educação  é  financiar  o  ensino  fundamental  dos empregados,  bem  como  dos  respectivos  filhos.  Trata-se  de  contribuição  social  do empregador incidente sobre a folha de pagamento.</t>
    </r>
  </si>
  <si>
    <r>
      <rPr>
        <b/>
        <sz val="12"/>
        <color theme="1"/>
        <rFont val="Arial"/>
        <family val="2"/>
      </rPr>
      <t>Percentual:</t>
    </r>
    <r>
      <rPr>
        <sz val="12"/>
        <color theme="1"/>
        <rFont val="Arial"/>
        <family val="2"/>
      </rPr>
      <t xml:space="preserve"> 2,50%</t>
    </r>
  </si>
  <si>
    <r>
      <rPr>
        <b/>
        <sz val="12"/>
        <color theme="1"/>
        <rFont val="Arial"/>
        <family val="2"/>
      </rPr>
      <t>Alínea 2.2.C - Riscos Ambientais do Trabalho:</t>
    </r>
    <r>
      <rPr>
        <sz val="12"/>
        <color theme="1"/>
        <rFont val="Arial"/>
        <family val="2"/>
      </rPr>
      <t xml:space="preserve"> Contribuição destinada a custear benefícios concedidos em razão do grau de incidência de incapacidade laborativa.  O RAT, a depender do grau de risco do serviço, irá variar entre 1%, para risco leve; 2%, para risco médio; e  3% de risco grave. No presente caso, foi adotato o percentual de 3% apenas para estimativa de custo, sendo que a empresa que apresentar proposta deverá comprovar, por meio de documento hábil, seu índice do FAP (Fator Acidentário de Prevenção).</t>
    </r>
  </si>
  <si>
    <r>
      <rPr>
        <b/>
        <sz val="12"/>
        <color theme="1"/>
        <rFont val="Arial"/>
        <family val="2"/>
      </rPr>
      <t>Percentual:</t>
    </r>
    <r>
      <rPr>
        <sz val="12"/>
        <color theme="1"/>
        <rFont val="Arial"/>
        <family val="2"/>
      </rPr>
      <t xml:space="preserve"> de 1 a 3% (adotado 3%)</t>
    </r>
  </si>
  <si>
    <r>
      <rPr>
        <b/>
        <sz val="12"/>
        <color theme="1"/>
        <rFont val="Arial"/>
        <family val="2"/>
      </rPr>
      <t>Alínea 2.2.D - SESC:</t>
    </r>
    <r>
      <rPr>
        <sz val="12"/>
        <color theme="1"/>
        <rFont val="Arial"/>
        <family val="2"/>
      </rPr>
      <t xml:space="preserve"> A contribuição  para o Serviço Social do  Comércio (SESC) tem como objeto custear a organização, administração e manutenção de programas que contribuam para o bem-estar social dos empregados e de suas famílias.</t>
    </r>
  </si>
  <si>
    <r>
      <rPr>
        <b/>
        <sz val="12"/>
        <color theme="1"/>
        <rFont val="Arial"/>
        <family val="2"/>
      </rPr>
      <t>Percentual:</t>
    </r>
    <r>
      <rPr>
        <sz val="12"/>
        <color theme="1"/>
        <rFont val="Arial"/>
        <family val="2"/>
      </rPr>
      <t xml:space="preserve"> 1,50%</t>
    </r>
  </si>
  <si>
    <r>
      <rPr>
        <b/>
        <sz val="12"/>
        <color theme="1"/>
        <rFont val="Arial"/>
        <family val="2"/>
      </rPr>
      <t>Alínea 2.2.E - SENAC:</t>
    </r>
    <r>
      <rPr>
        <sz val="12"/>
        <color theme="1"/>
        <rFont val="Arial"/>
        <family val="2"/>
      </rPr>
      <t xml:space="preserve"> A contribuição para o Serviço Nacional do Comércio (SENAC) tem por fim custear  as  atividades  de  organização  e  administração  de  escolas  de  aprendizagem comercial.</t>
    </r>
  </si>
  <si>
    <r>
      <rPr>
        <b/>
        <sz val="12"/>
        <color theme="1"/>
        <rFont val="Arial"/>
        <family val="2"/>
      </rPr>
      <t>Percentual:</t>
    </r>
    <r>
      <rPr>
        <sz val="12"/>
        <color theme="1"/>
        <rFont val="Arial"/>
        <family val="2"/>
      </rPr>
      <t xml:space="preserve"> 1,00%</t>
    </r>
  </si>
  <si>
    <r>
      <rPr>
        <b/>
        <sz val="12"/>
        <color theme="1"/>
        <rFont val="Arial"/>
        <family val="2"/>
      </rPr>
      <t>Alínea 2.2.F - SEBRAE:</t>
    </r>
    <r>
      <rPr>
        <sz val="12"/>
        <color theme="1"/>
        <rFont val="Arial"/>
        <family val="2"/>
      </rPr>
      <t xml:space="preserve"> A  contribuição  para  o  Serviço  Brasileiro  de  Apoio  às  Pequenas  e  Médias Empresas  (SEBRAE)  tem  por  fim  custear  programas  de  apoio  ao  desenvolvimento  das pequenas e  médias empresas. A alíquota de 0,60%,  incidente sobre a remuneração paga aos empregados, é devida pelas empresas prestadoras de serviços em geral.</t>
    </r>
  </si>
  <si>
    <r>
      <rPr>
        <b/>
        <sz val="12"/>
        <color theme="1"/>
        <rFont val="Arial"/>
        <family val="2"/>
      </rPr>
      <t>Percentual:</t>
    </r>
    <r>
      <rPr>
        <sz val="12"/>
        <color theme="1"/>
        <rFont val="Arial"/>
        <family val="2"/>
      </rPr>
      <t xml:space="preserve"> 0,60%</t>
    </r>
  </si>
  <si>
    <r>
      <rPr>
        <b/>
        <sz val="12"/>
        <color theme="1"/>
        <rFont val="Arial"/>
        <family val="2"/>
      </rPr>
      <t>Alínea 2.2.G - INCRA:</t>
    </r>
    <r>
      <rPr>
        <sz val="12"/>
        <color theme="1"/>
        <rFont val="Arial"/>
        <family val="2"/>
      </rPr>
      <t xml:space="preserve"> A  contribuição  ao  Instituto  Nacional  de  Colonização  e  Reforma  Agrária (INCRA)  tem como finalidade  o custeio de programas sociais de aprendizado de técnicas no campo. A contribuição adicional corresponde a 0,20% do total das  remunerações pagas, que é devida por todas as empresas, independentemente do ramo de atividade.</t>
    </r>
  </si>
  <si>
    <r>
      <rPr>
        <b/>
        <sz val="12"/>
        <color theme="1"/>
        <rFont val="Arial"/>
        <family val="2"/>
      </rPr>
      <t>Percentual:</t>
    </r>
    <r>
      <rPr>
        <sz val="12"/>
        <color theme="1"/>
        <rFont val="Arial"/>
        <family val="2"/>
      </rPr>
      <t xml:space="preserve"> 0,20%</t>
    </r>
  </si>
  <si>
    <r>
      <rPr>
        <b/>
        <sz val="12"/>
        <color theme="1"/>
        <rFont val="Arial"/>
        <family val="2"/>
      </rPr>
      <t>Alínea 2.2.H - FGTS:</t>
    </r>
    <r>
      <rPr>
        <sz val="12"/>
        <color theme="1"/>
        <rFont val="Arial"/>
        <family val="2"/>
      </rPr>
      <t xml:space="preserve"> Trata-se de contribuição fundiária devida pela empresa, por força do art. 15 da  Lei  nº  8.036/1990,  correspondente  a  8%  sobre  a  remuneração  paga  aos  seus empregados, depositada em conta vinculada individual aberta para cada trabalhador. </t>
    </r>
  </si>
  <si>
    <r>
      <rPr>
        <b/>
        <sz val="12"/>
        <color theme="1"/>
        <rFont val="Arial"/>
        <family val="2"/>
      </rPr>
      <t>Percentual:</t>
    </r>
    <r>
      <rPr>
        <sz val="12"/>
        <color theme="1"/>
        <rFont val="Arial"/>
        <family val="2"/>
      </rPr>
      <t xml:space="preserve"> 8,00%</t>
    </r>
  </si>
  <si>
    <t>Mémória de Cálculo</t>
  </si>
  <si>
    <t>(Valor tarifa passagem x 2 x Dias Efetivamente trabalhados) - (6% x Salário-Base)</t>
  </si>
  <si>
    <t>Valor retirado da CCT-2022 SEAC-SINDISERVIÇOS</t>
  </si>
  <si>
    <r>
      <rPr>
        <b/>
        <sz val="12"/>
        <color theme="1"/>
        <rFont val="Arial"/>
        <family val="2"/>
      </rPr>
      <t>Alínea 2.3.A - Transporte:</t>
    </r>
    <r>
      <rPr>
        <sz val="12"/>
        <color theme="1"/>
        <rFont val="Arial"/>
        <family val="2"/>
      </rPr>
      <t xml:space="preserve"> É o valor referente aos custos de transporte do empregado, proporcionado pelo  empregador por meio de  transporte próprio ou por meio de fornecimento de vales transportes. O vale-transporte não tem natureza salarial, não constitui base de incidência da  contribuição previdenciária ou do FGTS e também não é considerado para efeito de pagamento do 13º  salário conforme dispõe o art. 2º da Lei  nº  7.418/1985  e o art.  6º do Decreto nº 95.247/1987. O  vale-transporte será custeado pelo beneficiário na parcela equivalente a 6% (seis por cento) de seu salário-base, excluídos quaisquer adicionais ou vantagens (art. 4º, parágrafo único, da Lei nº 7.418/1985 e art. 9º do Decreto nº 95.247/1987). Para fins de cálculo do valor do vale-transporte será adotada a tarifa integral do deslocamento do trabalhador, sem descontos, de acorodo com previsto na legislação local (art. 5º § 3º da Lei 7.418/1985). Para o cálculo do gasto diário com transporte foi considerado a tarifa das linhas classificadas com Metropolitanas - 2 (M-2) no valor de R$ 5,50 (cinco reais e cinquenta centavos), de acordo com o Decreto nº 40.381, de 9 de janeiro de 2020.</t>
    </r>
  </si>
  <si>
    <t>(Valor diário gasto com passagens x 22* ou 26**) - (6% x Salário-Base)</t>
  </si>
  <si>
    <t>*22 dias efetivamente trabalhados para os serventes e encarregados de segunda à sexta-feira. Levando em consideração 22 dias úteis por mês, em regra.</t>
  </si>
  <si>
    <t>**26 dias efetivamente trabalhados para os serventes e encarregados de segunda-feira à domingo, levando-se em conta que, para não ultrapassar a quantidade de 44h da jornada semanal, 50% dos empregados trabalharão 4 horas no sábado e os outros 50% trabalharão 4 horas no domingo, ou seja, 22 dias úteis + 4 finais de semana por mês, chegou-se ao resultado de 26 dias trabalhados.</t>
  </si>
  <si>
    <r>
      <rPr>
        <b/>
        <sz val="12"/>
        <color theme="1"/>
        <rFont val="Arial"/>
        <family val="2"/>
      </rPr>
      <t>Metodologia de Cálculo:</t>
    </r>
    <r>
      <rPr>
        <sz val="12"/>
        <color theme="1"/>
        <rFont val="Arial"/>
        <family val="2"/>
      </rPr>
      <t xml:space="preserve"> O custo total das passagens é calculado pela multiplicação  do valor  diário gasto com passagens (valor da passagem multiplicado  pelo número de bilhetes concedidos por dia) e o número de dias trabalhados, em regra, 22 dias úteis para serventes e encarregados de segunda à sexta-feira. No caso dos serventes e encarregados de segunda-feira à domingo, soma-se mais 4 dias trabalhados por mês, conforme explicado acima. Para cálculo do desconto (em reais) do vale-transporte, relativos a postos laborados  44  horas  semanais,  é  multiplicada  a  alíquota  de  desconto  máximo  de  valetransporte previsto em acordo coletivo ou legislação pertinente  (6%) pelo  salário-base  da respectiva categoria.</t>
    </r>
  </si>
  <si>
    <r>
      <rPr>
        <b/>
        <sz val="12"/>
        <color theme="1"/>
        <rFont val="Arial"/>
        <family val="2"/>
      </rPr>
      <t>Alínea 2.3.B - Auxílio-Alimentação:</t>
    </r>
    <r>
      <rPr>
        <sz val="12"/>
        <color theme="1"/>
        <rFont val="Arial"/>
        <family val="2"/>
      </rPr>
      <t xml:space="preserve"> Segundo  o  art.  458  da  CLT,  a  alimentação  fornecida  habitualmente  ao empregado  pelo  empregador,  por  força  do  contrato  ou  do  costume,  integra  o  salário. Trata-se de parcela denominada salário-utilidade ou in natura. O valor do auxílio-alimentação (vales, cesta básica etc.) geralmente encontrase previsto nos acordos, convenções ou sentenças normativas em dissídios coletivos. No presente caso adotou-se o valor diário de R$ 38,00 (trinta e oito reais), de acordo com a CCT-2022 SEAC-SINDISERVIÇOS.</t>
    </r>
  </si>
  <si>
    <t>(Valor diário do auxílio-alimentação x 22* ou 26*</t>
  </si>
  <si>
    <t>*O cálculo de dias trabalhados já definido na alínea de transportes.</t>
  </si>
  <si>
    <r>
      <rPr>
        <b/>
        <sz val="12"/>
        <color theme="1"/>
        <rFont val="Arial"/>
        <family val="2"/>
      </rPr>
      <t>Metodologia de Cálculo:</t>
    </r>
    <r>
      <rPr>
        <sz val="12"/>
        <color theme="1"/>
        <rFont val="Arial"/>
        <family val="2"/>
      </rPr>
      <t xml:space="preserve"> O custo total do auxílio-alimentação é calculado pela multiplicação do valor diário do benefício pelo número de dias trabalhados, ou seja, por 22 dias úteis, no caso dos serventes e encarregados de segunda à sexta-feira e 26 dias, no caso dos serventes e encarregados de segunda-feira a domingo.</t>
    </r>
  </si>
  <si>
    <r>
      <rPr>
        <b/>
        <sz val="12"/>
        <color theme="1"/>
        <rFont val="Arial"/>
        <family val="2"/>
      </rPr>
      <t>Alínea 2.3.C - Plano de Saúde:</t>
    </r>
    <r>
      <rPr>
        <sz val="12"/>
        <color theme="1"/>
        <rFont val="Arial"/>
        <family val="2"/>
      </rPr>
      <t xml:space="preserve"> Há previsão de Plano Ambulatorial na Convenção Coletiva de Trabalho 2022/2022 - CCT-2022 SEAC-SINDISERVIÇOS no valor de R$ 169,67 (cento e sessenta e nove reais e sessenta e sete centavos), de acordo com Cláusula Décima Sexta - Plano Ambulatorial.</t>
    </r>
  </si>
  <si>
    <r>
      <rPr>
        <b/>
        <sz val="12"/>
        <color theme="1"/>
        <rFont val="Arial"/>
        <family val="2"/>
      </rPr>
      <t>Alínea 2.3.D - Assistência Odontológica:</t>
    </r>
    <r>
      <rPr>
        <sz val="12"/>
        <color theme="1"/>
        <rFont val="Arial"/>
        <family val="2"/>
      </rPr>
      <t xml:space="preserve"> Há previsão de Assistência Odontológica na Convenção Coletiva de Trabalho 2022/2022 - CCT-2022 SEAC-SINDISERVIÇOS no valor de R$ 11,27 (onze reais e vinte e sete centavos), de acordo com Cláusula Décima Sétima - Assistência Odontológica.</t>
    </r>
  </si>
  <si>
    <r>
      <rPr>
        <b/>
        <sz val="12"/>
        <color theme="1"/>
        <rFont val="Arial"/>
        <family val="2"/>
      </rPr>
      <t>Alínea 2.3.E - Seguro de Vida:</t>
    </r>
    <r>
      <rPr>
        <sz val="12"/>
        <color theme="1"/>
        <rFont val="Arial"/>
        <family val="2"/>
      </rPr>
      <t xml:space="preserve"> Há previsão de Seguro de Vida/Assistência Funeral na Convenção Coletiva de Trabalho 2022/2022 - CCT-2022 SEAC-SINDISERVIÇOS no valor de R$ 2,50 (dois reais e cinquenta centavos), de acordo com Cláusula Décima Oitava - Assistência Funeral.</t>
    </r>
  </si>
  <si>
    <t>[(56,24%) x 5,55% x (1/12)] x 100</t>
  </si>
  <si>
    <t>(8% x 0,26%) x 100</t>
  </si>
  <si>
    <t>[(0,26%) x (40% + 10%) x 8%] x 100</t>
  </si>
  <si>
    <t>[(62,93%) x 95,45% x (7/30)/12] x 100</t>
  </si>
  <si>
    <t>(36,80% x 1,03%) x 100</t>
  </si>
  <si>
    <t>[(1,03%) x (40% + 10%) x 8%] x 100</t>
  </si>
  <si>
    <r>
      <rPr>
        <b/>
        <sz val="12"/>
        <color theme="1"/>
        <rFont val="Arial"/>
        <family val="2"/>
      </rPr>
      <t>Alínea 3.A - Aviso Prévio Indenizado:</t>
    </r>
    <r>
      <rPr>
        <sz val="12"/>
        <color theme="1"/>
        <rFont val="Arial"/>
        <family val="2"/>
      </rPr>
      <t xml:space="preserve"> O aviso prévio é um  direito do trabalhador. No mínimo 30 dias antes do término do contrato de trabalho, o empregador, considerando que a iniciativa seja dele, notifica o  empregado do término da relação. Ocorre o aviso prévio indenizado quando o empregado  é  demitido  sem  prévio  aviso  ou  quando  o  empregador  determina  o desligamento imediato. Nessa hipótese, o empregado é demitido de imediato, sem trabalhar os 30 dias correspondentes ao aviso prévio, sendo indenizado mediante o pagamento do salário mensal correspondente (art. 487, § 1º, da CLT). O  custo  aqui  estimado  refere-se  à  remuneração  correspondente  a  essa indenização,  acima mencionada, pois, para não haver descontinuidade na prestação dos serviços,  a  empresa  deverá  substituir,  imediatamente,  os  empregados  dispensados  do cumprimento do aviso prévio.</t>
    </r>
  </si>
  <si>
    <r>
      <rPr>
        <b/>
        <sz val="12"/>
        <color theme="1"/>
        <rFont val="Arial"/>
        <family val="2"/>
      </rPr>
      <t>Base de Cálculo:</t>
    </r>
    <r>
      <rPr>
        <sz val="12"/>
        <color theme="1"/>
        <rFont val="Arial"/>
        <family val="2"/>
      </rPr>
      <t xml:space="preserve"> Módulo 1 + Submódulo 2.1 + Alínea 2.2 + Submódulo 2.3</t>
    </r>
  </si>
  <si>
    <r>
      <rPr>
        <b/>
        <sz val="12"/>
        <color theme="1"/>
        <rFont val="Arial"/>
        <family val="2"/>
      </rPr>
      <t>Percentual:</t>
    </r>
    <r>
      <rPr>
        <sz val="12"/>
        <color theme="1"/>
        <rFont val="Arial"/>
        <family val="2"/>
      </rPr>
      <t xml:space="preserve"> 0,26%</t>
    </r>
  </si>
  <si>
    <t>[(56,24%) x 5,55% x (1/12)] x 100 = 0,26%</t>
  </si>
  <si>
    <r>
      <rPr>
        <b/>
        <sz val="12"/>
        <color theme="1"/>
        <rFont val="Arial"/>
        <family val="2"/>
      </rPr>
      <t>Metodologia de Cálculo:</t>
    </r>
    <r>
      <rPr>
        <sz val="12"/>
        <color theme="1"/>
        <rFont val="Arial"/>
        <family val="2"/>
      </rPr>
      <t xml:space="preserve"> Considerando-se que 56,24% de faxineiros/serventes contratados pela administração pública  foram  demitidos sem justa causa  pelo empregador, conforme dados do Cadastro Geral de Empregados e Desempregados (CAGED), referentes  ao exercício  de 2018, faz-se a  provisão  em  relação  à  remuneração  mensal  do  empregado,  multiplica-se  o  citado percentual por  5,55%,  que é o percentual de empregados que fazem jus ao aviso prévio indenizado,  conforme  consta  do  item  11  do  Relatório  constante  do  Acórdão  TCU  nº 1.904/2007  -  Plenário, e, ainda, por  1,  dividindo-se  por  12  meses.</t>
    </r>
  </si>
  <si>
    <r>
      <rPr>
        <b/>
        <sz val="12"/>
        <color theme="1"/>
        <rFont val="Arial"/>
        <family val="2"/>
      </rPr>
      <t>Alínea 3.B - Incidência do FGTS sobre o Aviso Prévio Indenizado:</t>
    </r>
    <r>
      <rPr>
        <sz val="12"/>
        <color theme="1"/>
        <rFont val="Arial"/>
        <family val="2"/>
      </rPr>
      <t xml:space="preserve"> A incidência do FGTS sobre o aviso prévio indenizado pode ser extraída da interpretação do art. 15 da Lei 8.036/1990, que determina a contribuição mensal, a cargo do  empregador, para o FGTS, correspondente a 8% da remuneração paga ou devida  ao trabalhador no mês anterior. Remuneração, aqui, nos termos definidos nos arts. 457 e 458, da  CLT,  ou  seja,  inclui o  salário  básico  e  demais  parcelas  recebidas  pelo  empregado  a propósito dos serviços prestados.</t>
    </r>
  </si>
  <si>
    <r>
      <rPr>
        <b/>
        <sz val="12"/>
        <color theme="1"/>
        <rFont val="Arial"/>
        <family val="2"/>
      </rPr>
      <t>Percentual:</t>
    </r>
    <r>
      <rPr>
        <sz val="12"/>
        <color theme="1"/>
        <rFont val="Arial"/>
        <family val="2"/>
      </rPr>
      <t xml:space="preserve"> 0,02%</t>
    </r>
  </si>
  <si>
    <t>(8% x 0,26%) x 100 = 0,02%</t>
  </si>
  <si>
    <r>
      <rPr>
        <b/>
        <sz val="12"/>
        <color theme="1"/>
        <rFont val="Arial"/>
        <family val="2"/>
      </rPr>
      <t>Metodologia de Cálculo:</t>
    </r>
    <r>
      <rPr>
        <sz val="12"/>
        <color theme="1"/>
        <rFont val="Arial"/>
        <family val="2"/>
      </rPr>
      <t xml:space="preserve"> Considera-se o percentual de 8%, referente ao FGTS, multiplicado por 0,26%,  índices  relativos  ao  aviso  prévio  indenizado  para  serviços de limpeza e conservação, conforme especificado na fórmula constante da Alínea 3.A.</t>
    </r>
  </si>
  <si>
    <r>
      <rPr>
        <b/>
        <sz val="12"/>
        <color theme="1"/>
        <rFont val="Arial"/>
        <family val="2"/>
      </rPr>
      <t>Alínea 3.C - Multa do FGTS do Aviso Prévio Indenizado:</t>
    </r>
    <r>
      <rPr>
        <sz val="12"/>
        <color theme="1"/>
        <rFont val="Arial"/>
        <family val="2"/>
      </rPr>
      <t xml:space="preserve"> Todo  empregado  dispensado  sem  justa  causa  tem  direito  de  receber,  na forma de indenização,  o  valor correspondente a 40%  sobre o saldo  dos depósitos efetuados em sua conta vinculada ao FGTS, conforme consta do art. 18 da Lei 8.036/1990. Trata-se de multa  paga  pela  empresa  mediante  depósito  no  FGTS.  Além  disso,  os  empregadores deverão arcar com mais  10%  sobre o mencionado saldo, tendo em vista a contribuição social prevista no art. 1º da Lei Complementar nº 110/2001.</t>
    </r>
  </si>
  <si>
    <r>
      <rPr>
        <b/>
        <sz val="12"/>
        <color theme="1"/>
        <rFont val="Arial"/>
        <family val="2"/>
      </rPr>
      <t>Percentual:</t>
    </r>
    <r>
      <rPr>
        <sz val="12"/>
        <color theme="1"/>
        <rFont val="Arial"/>
        <family val="2"/>
      </rPr>
      <t xml:space="preserve"> 0,01%</t>
    </r>
  </si>
  <si>
    <t>[(0,26% x (40% + 10%)) x 8%] x 100 = 0,01%</t>
  </si>
  <si>
    <r>
      <rPr>
        <b/>
        <sz val="12"/>
        <color theme="1"/>
        <rFont val="Arial"/>
        <family val="2"/>
      </rPr>
      <t>Metodologia de Cálculo:</t>
    </r>
    <r>
      <rPr>
        <sz val="12"/>
        <color theme="1"/>
        <rFont val="Arial"/>
        <family val="2"/>
      </rPr>
      <t xml:space="preserve"> Considerando que os índices referentes ao aviso prévio indenizado para serviços de vigilância e de limpeza e conservação são de 0,29% e 0,26%, respectivamente, conforme especificado na fórmula constante da Alínea 3.A  e, ainda, que a Lei n° 8.036/1990 determina  que, no caso de despedida sem justa causa pela empregador, deverá ser depositado o percentual de 40% sobre os depósitos realizados na conta vinculada durante a vigência do contrato, somando-se ao previsto na Lei Complementar nº 110/2001, que determina multa de 10% da soma dos depósitos do FGTS, no caso de rescisão sem justa causa, multiplicando-se esse percentual por 8%, referente ao FGTS, para fins de cálculo da multa do FGTS sobre o aviso prévio indenizado.</t>
    </r>
  </si>
  <si>
    <r>
      <rPr>
        <b/>
        <sz val="12"/>
        <color theme="1"/>
        <rFont val="Arial"/>
        <family val="2"/>
      </rPr>
      <t>Alínea 3.D - Aviso Prévio Trabalhado:</t>
    </r>
    <r>
      <rPr>
        <sz val="12"/>
        <color theme="1"/>
        <rFont val="Arial"/>
        <family val="2"/>
      </rPr>
      <t xml:space="preserve"> O aviso prévio é um direito do trabalhador. No mínimo 30 dias antes do término do contrato de trabalho o empregador, considerando que a iniciativa seja dele, notifica o empregado do término da relação. Ocorre o aviso prévio trabalhado quando o empregado continua trabalhando após o recebimento do aviso prévio. Durante o período do aviso prévio, o trabalhador terá sua jornada de trabalho diária reduzida em 2 horas, sem prejuízo do salário. O empregado pode, contudo, optar por, ao invés de ter a redução diária da sua jornada, faltar ao serviço 7 dias corridos, sem prejuízo da remuneração. O custo estimado refere-se à remuneração relativa a esses períodos de redução da jornada ou de faltas, pois, para haver continuidade na prestação dos serviços, a empresa deverá pagar substitutos dos empregados em cumprimento de aviso prévio.</t>
    </r>
  </si>
  <si>
    <r>
      <rPr>
        <b/>
        <sz val="12"/>
        <color theme="1"/>
        <rFont val="Arial"/>
        <family val="2"/>
      </rPr>
      <t>Base de Cálculo:</t>
    </r>
    <r>
      <rPr>
        <sz val="12"/>
        <color theme="1"/>
        <rFont val="Arial"/>
        <family val="2"/>
      </rPr>
      <t xml:space="preserve"> Módulo 1 + Módulo 2</t>
    </r>
  </si>
  <si>
    <r>
      <rPr>
        <b/>
        <sz val="12"/>
        <color theme="1"/>
        <rFont val="Arial"/>
        <family val="2"/>
      </rPr>
      <t>Percentual:</t>
    </r>
    <r>
      <rPr>
        <sz val="12"/>
        <color theme="1"/>
        <rFont val="Arial"/>
        <family val="2"/>
      </rPr>
      <t xml:space="preserve"> 1,03%</t>
    </r>
  </si>
  <si>
    <t>[(56,24%) x 95,45% x (7/30)/12] x 100 = 1,03%</t>
  </si>
  <si>
    <r>
      <rPr>
        <b/>
        <sz val="12"/>
        <color theme="1"/>
        <rFont val="Arial"/>
        <family val="2"/>
      </rPr>
      <t>Metodologia de Cálculo:</t>
    </r>
    <r>
      <rPr>
        <sz val="12"/>
        <color theme="1"/>
        <rFont val="Arial"/>
        <family val="2"/>
      </rPr>
      <t xml:space="preserve"> Considerando-se que 56,24% dos faxineiros/serventes contratados pela administração pública foram demitidos sem justa causa pelo empregador, conforme dados do Cadastro Geral de Empregados e Desempregados (CAGED), referentes ao exercício de 2018, faz-se a provisão em relação à remuneração mensal do empregado, multiplica-se o citado percentual por 95,45%, que é a diferença percentual entre 100% e 5,55% (este é o percentual de empregados que fazem jus ao aviso prévio indenizado, conforme consta do item 11 do Relatório constante do Acórdão TCU nº 1.904/2007 – Plenário). Ressalte-se que, se 5,55% dos empregados demitidos sem justa causa recebem aviso prévio indenizado, então o restante (95,45%) cumprem o aviso prévio trabalhado. Por fim, multiplica-se por 1, dividindo-se por 12 meses.</t>
    </r>
  </si>
  <si>
    <r>
      <rPr>
        <b/>
        <sz val="12"/>
        <color theme="1"/>
        <rFont val="Arial"/>
        <family val="2"/>
      </rPr>
      <t>Alínea 3.E - Incidência de GPS, FGTS e Outras Contribuições sobre Aviso Prévio Trabalhado:</t>
    </r>
    <r>
      <rPr>
        <sz val="12"/>
        <color theme="1"/>
        <rFont val="Arial"/>
        <family val="2"/>
      </rPr>
      <t xml:space="preserve"> Conforme a Alínea 3.E, previsto no Anexo VII-D na IN SEGES/MPDG nº 5/2017, deverá haver incidência dos encargos previstos no Submódulo 2.2 sobre o aviso prévio trabalhado.</t>
    </r>
  </si>
  <si>
    <r>
      <rPr>
        <b/>
        <sz val="12"/>
        <color theme="1"/>
        <rFont val="Arial"/>
        <family val="2"/>
      </rPr>
      <t>Percentual:</t>
    </r>
    <r>
      <rPr>
        <sz val="12"/>
        <color theme="1"/>
        <rFont val="Arial"/>
        <family val="2"/>
      </rPr>
      <t xml:space="preserve"> 0,38%</t>
    </r>
  </si>
  <si>
    <t>(36,80% x 1,03%) x 100 = 0,38%</t>
  </si>
  <si>
    <r>
      <rPr>
        <b/>
        <sz val="12"/>
        <color theme="1"/>
        <rFont val="Arial"/>
        <family val="2"/>
      </rPr>
      <t>Metodologia de Cálculo:</t>
    </r>
    <r>
      <rPr>
        <sz val="12"/>
        <color theme="1"/>
        <rFont val="Arial"/>
        <family val="2"/>
      </rPr>
      <t xml:space="preserve"> Multiplica-se o percentual de 36,80%, previsto no Submódulo 2.2, pelo percentual referente ao aviso prévio trabalhado para serviços de limpeza a conservação (1,03%), conforme especificado na fórmula constante da Alínea 3.D.</t>
    </r>
  </si>
  <si>
    <r>
      <rPr>
        <b/>
        <sz val="12"/>
        <color theme="1"/>
        <rFont val="Arial"/>
        <family val="2"/>
      </rPr>
      <t>Alínea 3.F - Multa do FGTS do Aviso Prévio Trabalhado:</t>
    </r>
    <r>
      <rPr>
        <sz val="12"/>
        <color theme="1"/>
        <rFont val="Arial"/>
        <family val="2"/>
      </rPr>
      <t xml:space="preserve"> Todo empregado dispensado sem justa causa tem direito de receber, na forma de indenização, o valor correspondente a 40% sobre o saldo dos depósitos efetuados em sua conta vinculada ao FGTS, conforme consta do art. 18 da Lei 8.036/1990. Trata-se de multa  paga pela empresa mediante depósito no FGTS. Além disso, os empregadores deverão arcar com mais 10% sobre o mencionado saldo, tendo em vista a contribuição social prevista no art. 1º da Lei Complementar nº 110/2001.</t>
    </r>
  </si>
  <si>
    <r>
      <rPr>
        <b/>
        <sz val="12"/>
        <color theme="1"/>
        <rFont val="Arial"/>
        <family val="2"/>
      </rPr>
      <t>Percentual:</t>
    </r>
    <r>
      <rPr>
        <sz val="12"/>
        <color theme="1"/>
        <rFont val="Arial"/>
        <family val="2"/>
      </rPr>
      <t xml:space="preserve"> 0,05%</t>
    </r>
  </si>
  <si>
    <t>[(1,03%) x (40% + 10%) x 8%] x 100 = 0,05%</t>
  </si>
  <si>
    <r>
      <rPr>
        <b/>
        <sz val="12"/>
        <color theme="1"/>
        <rFont val="Arial"/>
        <family val="2"/>
      </rPr>
      <t>Metodologia de Cálculo:</t>
    </r>
    <r>
      <rPr>
        <sz val="12"/>
        <color theme="1"/>
        <rFont val="Arial"/>
        <family val="2"/>
      </rPr>
      <t xml:space="preserve"> Considerando que os índices referentes ao aviso prévio trabalhado para serviços de limpeza e conservação, 1,03%, conforme especificado na fórmula constante da Alínea 3.D e, ainda, que a Lei n° 8.036/1990 determina que, no caso de despedida sem justa causa pelo empregador, deverá  ser depositado o percentual de 40% sobre os depósitos realizados na conta vinculada durante a vigência do contrato, somando-se ao previsto na Lei Complementar nº 110/2001, que determina multa de 10% da soma dos depósitos do FGTS, no caso de rescisão sem justa causa, multiplicando-se esse percentual por 8%, referente ao FGTS, para fins de cálculo da multa do FGTS sobre o aviso prévio indenizado.</t>
    </r>
  </si>
  <si>
    <t>[(8/30)/12] x 100</t>
  </si>
  <si>
    <t>{[(20/30)/12] x 1,416% x 45,22%} x 100</t>
  </si>
  <si>
    <t>{[(15x30)/12] x 0,44%} x 100</t>
  </si>
  <si>
    <t>{[(180/30)/12] x 1,416% x 54,78% x 36,80%} x 100</t>
  </si>
  <si>
    <r>
      <rPr>
        <b/>
        <sz val="12"/>
        <color theme="1"/>
        <rFont val="Arial"/>
        <family val="2"/>
      </rPr>
      <t>Alínea 4.1.A - Substituto na Cobertura de Férias:</t>
    </r>
    <r>
      <rPr>
        <sz val="12"/>
        <color theme="1"/>
        <rFont val="Arial"/>
        <family val="2"/>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t>
    </r>
  </si>
  <si>
    <r>
      <rPr>
        <b/>
        <sz val="12"/>
        <color theme="1"/>
        <rFont val="Arial"/>
        <family val="2"/>
      </rPr>
      <t>Base de Cálculo:</t>
    </r>
    <r>
      <rPr>
        <sz val="12"/>
        <color theme="1"/>
        <rFont val="Arial"/>
        <family val="2"/>
      </rPr>
      <t xml:space="preserve"> Módulo 1 + Módulo 2 + Módulo 3</t>
    </r>
  </si>
  <si>
    <r>
      <rPr>
        <b/>
        <sz val="12"/>
        <color theme="1"/>
        <rFont val="Arial"/>
        <family val="2"/>
      </rPr>
      <t>Metodologia de Cálculo:</t>
    </r>
    <r>
      <rPr>
        <sz val="12"/>
        <color theme="1"/>
        <rFont val="Arial"/>
        <family val="2"/>
      </rPr>
      <t xml:space="preserve"> Deve-se provisionar o custo mensal que a contratada tem com a remuneração do substituto do empregado que goza férias, ou seja, a remuneração correspondente a 30 dias.</t>
    </r>
  </si>
  <si>
    <r>
      <rPr>
        <b/>
        <sz val="12"/>
        <color theme="1"/>
        <rFont val="Arial"/>
        <family val="2"/>
      </rPr>
      <t>Alínea 4.1.B - Substituto na Cobertura de Ausências Legais:</t>
    </r>
    <r>
      <rPr>
        <sz val="12"/>
        <color theme="1"/>
        <rFont val="Arial"/>
        <family val="2"/>
      </rPr>
      <t xml:space="preserve"> A legislação prevê hipóteses de faltas justificadas, vale dizer, situações em que o empregado poderá faltar ao serviço e não ter qualquer desconto na remuneração (por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t>
    </r>
  </si>
  <si>
    <r>
      <rPr>
        <b/>
        <sz val="12"/>
        <color theme="1"/>
        <rFont val="Arial"/>
        <family val="2"/>
      </rPr>
      <t>Percentual:</t>
    </r>
    <r>
      <rPr>
        <sz val="12"/>
        <color theme="1"/>
        <rFont val="Arial"/>
        <family val="2"/>
      </rPr>
      <t xml:space="preserve"> 2,22%</t>
    </r>
  </si>
  <si>
    <t>[(8/30)/12] x 100 = 2,22%</t>
  </si>
  <si>
    <r>
      <rPr>
        <b/>
        <sz val="12"/>
        <color theme="1"/>
        <rFont val="Arial"/>
        <family val="2"/>
      </rPr>
      <t>Metodologia de Cálculo:</t>
    </r>
    <r>
      <rPr>
        <sz val="12"/>
        <color theme="1"/>
        <rFont val="Arial"/>
        <family val="2"/>
      </rPr>
      <t xml:space="preserve"> Calcula-se o número de dias de ausências legais (8 dias)*, dividido por 30 (dias) e dividindo-se o resultado por 12 (meses).</t>
    </r>
  </si>
  <si>
    <t xml:space="preserve">*8 (oito) dias de ausências legais está previsto nos Arts. 131, Inciso I, e 473, Incisos I, II, X e XI da CLT: </t>
  </si>
  <si>
    <t>Art. 131 -  Não será considerada falta ao serviço, para os efeitos do artigo anterior, a ausência do empregado:
I - nos casos referidos no art. 473;
(...)
Art. 473 - O empregado poderá deixar de comparecer ao serviço sem prejuízo do salário:
I  -  até 2 (dois) dias consecutivos, em caso de falecimento do cônjuge, ascendente, descendente, irmão ou pessoa que, declarada em sua carteira 
de trabalho e previdência social, viva sob sua dependência econômica;
II - até 3 (três) dias consecutivos, em virtude de casamento;
(...)
X - até 2 (dois) dias para acompanhar consultas médicas e exames complementares durante o período de gravidez de sua esposa ou companheira;
XI - por 1 (um) dia por ano para acompanhar filho de até 6 (seis) anos em consulta médica.</t>
  </si>
  <si>
    <r>
      <rPr>
        <b/>
        <sz val="12"/>
        <color theme="1"/>
        <rFont val="Arial"/>
        <family val="2"/>
      </rPr>
      <t>Alínea 4.1.C - Substituto na Cobertura de Licença Paternidade:</t>
    </r>
    <r>
      <rPr>
        <sz val="12"/>
        <color theme="1"/>
        <rFont val="Arial"/>
        <family val="2"/>
      </rPr>
      <t xml:space="preserve"> Todo trabalhador que tiver filho terá direito a afastar-se do trabalho por 20 dias, sem prejuízo da remuneração, conforme disposição constante do art. 10,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t>
    </r>
  </si>
  <si>
    <r>
      <rPr>
        <b/>
        <sz val="12"/>
        <color theme="1"/>
        <rFont val="Arial"/>
        <family val="2"/>
      </rPr>
      <t>Percentual:</t>
    </r>
    <r>
      <rPr>
        <sz val="12"/>
        <color theme="1"/>
        <rFont val="Arial"/>
        <family val="2"/>
      </rPr>
      <t xml:space="preserve"> 0,04%</t>
    </r>
  </si>
  <si>
    <t>{[(20/30)/12] x 1,416% x 45,22%} x 100 = 0,04%</t>
  </si>
  <si>
    <r>
      <rPr>
        <b/>
        <sz val="12"/>
        <color theme="1"/>
        <rFont val="Arial"/>
        <family val="2"/>
      </rPr>
      <t>Metodologia de Cálculo:</t>
    </r>
    <r>
      <rPr>
        <sz val="12"/>
        <color theme="1"/>
        <rFont val="Arial"/>
        <family val="2"/>
      </rPr>
      <t xml:space="preserve"> A provisão para este item corresponde a 20 dias referentes à licença, divididos por 30 dias do mês, dividindo-se esse resultado por 12 meses do ano, multiplicando-se por 1,416%, que corresponde ao percentual referente à taxa bruta de natalidade no Brasil em 2015, retirado no síte do IBGE (https://brasilemsintese.ibge.gov.br/populacao/taxas-brutas-de-natalidade.html). Por fim, multiplica-se o resultado pelos percentuais de participação masculina nos serviços de limpeza e conservação, que é 45,22%, de acordo com o Levantamento sobre a Participação de Homens e Mulheres em Serviços de Limpeza e Conservação no exercício de 2018 (CAGED).</t>
    </r>
  </si>
  <si>
    <r>
      <rPr>
        <b/>
        <sz val="12"/>
        <color theme="1"/>
        <rFont val="Arial"/>
        <family val="2"/>
      </rPr>
      <t>Alínea 4.1.D - Substituto na Cobertura de Ausência por Acidente de Trabalho:</t>
    </r>
    <r>
      <rPr>
        <sz val="12"/>
        <color theme="1"/>
        <rFont val="Arial"/>
        <family val="2"/>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t>
    </r>
  </si>
  <si>
    <t>{[(15/30)/12] x 0,44%} x 100 + 0,02%</t>
  </si>
  <si>
    <r>
      <rPr>
        <b/>
        <sz val="12"/>
        <color theme="1"/>
        <rFont val="Arial"/>
        <family val="2"/>
      </rPr>
      <t>Metodologia de Cálculo:</t>
    </r>
    <r>
      <rPr>
        <sz val="12"/>
        <color theme="1"/>
        <rFont val="Arial"/>
        <family val="2"/>
      </rPr>
      <t xml:space="preserve"> O artigo 75 do Decreto nº 3.048/1999 obriga o empregador a assumir o ônus financeiro pelo prazo de 15 dias, no caso de afastamento da atividade por motivo de doença. Divide-se por 30 dias e, após, por 12 meses. Por fim, conforme consta da página do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(Fonte: Referencial Técnico de Custos da Auditoria Interna do Ministério Público da União, 2019, 2ª Edição, referente a contratação de serviços terceirizados no âmbito do MPU.)</t>
    </r>
  </si>
  <si>
    <r>
      <rPr>
        <b/>
        <sz val="12"/>
        <color theme="1"/>
        <rFont val="Arial"/>
        <family val="2"/>
      </rPr>
      <t>Alínea 4.1.E - Substituto na Cobertura de Afastamento Maternidade:</t>
    </r>
    <r>
      <rPr>
        <sz val="12"/>
        <color theme="1"/>
        <rFont val="Arial"/>
        <family val="2"/>
      </rPr>
      <t xml:space="preserve"> 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t>
    </r>
  </si>
  <si>
    <r>
      <rPr>
        <b/>
        <sz val="12"/>
        <color theme="1"/>
        <rFont val="Arial"/>
        <family val="2"/>
      </rPr>
      <t>Percentual:</t>
    </r>
    <r>
      <rPr>
        <sz val="12"/>
        <color theme="1"/>
        <rFont val="Arial"/>
        <family val="2"/>
      </rPr>
      <t xml:space="preserve"> 0,14%</t>
    </r>
  </si>
  <si>
    <t>{[(180/30)/12] x 1,416% x 54,78% x 36,80%} x 100 = 0,14%</t>
  </si>
  <si>
    <r>
      <rPr>
        <b/>
        <sz val="12"/>
        <color theme="1"/>
        <rFont val="Arial"/>
        <family val="2"/>
      </rPr>
      <t>Metodologia de Cálculo:</t>
    </r>
    <r>
      <rPr>
        <sz val="12"/>
        <color theme="1"/>
        <rFont val="Arial"/>
        <family val="2"/>
      </rPr>
      <t xml:space="preserve">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limpeza e conservação (54,78%). Aplica-se, por fim, o percentual de encargos sociais devidos pelo empregador, que, no caso, é de 36,80%, tendo em vista que o empregador arca somente com a parcela relativa aos encargos sociais da trabalhadora, ficando o pagamento do salário a cargo do INSS. (Fonte: Referencial Técnico de Custos da Auditoria Interna do Ministério Público da União, 2019, 2ª Edição, referente a contratação de serviços terceirizados no âmbito do MPU.)</t>
    </r>
  </si>
  <si>
    <t>Metodologia de Cálculo</t>
  </si>
  <si>
    <t>Não é usual no CBMDF a inlcusão desse item nas planilhas de custo e formação de preços para contratos de serviço de limpeza e conservação.</t>
  </si>
  <si>
    <t>Pesquisa de mercado e cálculo do valor médio da aquisição</t>
  </si>
  <si>
    <t>Pesquisa de mecado e cálculo da depreciação mensal e valor de manutenção mensal</t>
  </si>
  <si>
    <r>
      <rPr>
        <b/>
        <sz val="12"/>
        <color theme="1"/>
        <rFont val="Arial"/>
        <family val="2"/>
      </rPr>
      <t>Alínea 5.A - Uniformes:</t>
    </r>
    <r>
      <rPr>
        <sz val="12"/>
        <color theme="1"/>
        <rFont val="Arial"/>
        <family val="2"/>
      </rPr>
      <t xml:space="preserve"> O CBMDF exige que os empregados da empresa contratada se apresentem ao local da prestação dos serviços uniformizados, como já é de praxe nos contratos de limpeza e conservação da Corporação, sendo assim, é necessário estimar o custo mensal  desse insumo.  O  custo dos uniformes inclui todos os itens que compõem  o uniforme do empregado. Foi realizado pesquisa de preços de acordo com a Portaria nº 514/2018, apurando  o  valor médio de cada peça.</t>
    </r>
  </si>
  <si>
    <r>
      <rPr>
        <b/>
        <sz val="12"/>
        <color theme="1"/>
        <rFont val="Arial"/>
        <family val="2"/>
      </rPr>
      <t>Metodologia de Cálculo:</t>
    </r>
    <r>
      <rPr>
        <sz val="12"/>
        <color theme="1"/>
        <rFont val="Arial"/>
        <family val="2"/>
      </rPr>
      <t xml:space="preserve"> Foi realizada pesquisa de mercado, de acordo com a Portaria nº 514/2018 - MPOG, sendo utilizado em média 3 valores para cada peça, após foi calculado o valor médio das peças do uniforme, multiplicando pela quantidade de peças necessárias até o final do contrato de 30 meses, tendo como base que a CCT-2022-SEACxSINDISERVIÇOS em sua Cláusula Quinquagésima dispoem: </t>
    </r>
    <r>
      <rPr>
        <i/>
        <sz val="12"/>
        <color theme="1"/>
        <rFont val="Arial"/>
        <family val="2"/>
      </rPr>
      <t xml:space="preserve">“Quando de uso obrigatório, no início do contrato de trabalho, as empresas fornecerão aos seus empregados, gratuitamente, 02 (dois) conjuntos de uniformes completos e 01 (um) par de meias e calçados. A cada 6 (seis) meses, será entregue 1 (um) conjunto de uniforme.” </t>
    </r>
    <r>
      <rPr>
        <sz val="12"/>
        <color theme="1"/>
        <rFont val="Arial"/>
        <family val="2"/>
      </rPr>
      <t>O Valor total foi dividido por 30 meses, resultando no valor de R$ 19,70 (dezenove reais e setenta centavos) mensal para o servente e R$ 54,01 (cinquenta e quatro reais e um centavo) mensal para o encarregado.</t>
    </r>
  </si>
  <si>
    <r>
      <rPr>
        <b/>
        <sz val="12"/>
        <color theme="1"/>
        <rFont val="Arial"/>
        <family val="2"/>
      </rPr>
      <t>Alínea 5.B - Materiais:</t>
    </r>
    <r>
      <rPr>
        <sz val="12"/>
        <color theme="1"/>
        <rFont val="Arial"/>
        <family val="2"/>
      </rPr>
      <t xml:space="preserve"> Há necessidade do emprego de materiais de consumo na contratação de limpeza e conservação, com isso, a quantidade apurada foi com base no histórico de consumo dos contratos anteriores, conforme planilha de materiais de consumo dos itens 1, 2 e 3.</t>
    </r>
  </si>
  <si>
    <r>
      <rPr>
        <b/>
        <sz val="12"/>
        <color theme="1"/>
        <rFont val="Arial"/>
        <family val="2"/>
      </rPr>
      <t xml:space="preserve">Metodologia de Cálculo: </t>
    </r>
    <r>
      <rPr>
        <sz val="12"/>
        <color theme="1"/>
        <rFont val="Arial"/>
        <family val="2"/>
      </rPr>
      <t>Foi realizada pesquisa de mercado, de acordo com a Portaria nº 514/2018 - MPOG, sendo utilizado o menor valor entre os encontrados para cada material de consumo, após foi multiplicando pela quantidade mensal estimada necessárias para a prestação do serviço, posteriormente foi realizada a divisão do valor total estimado de material de consumo de cada item pela quantidade total estimada de empregados em cada item, resultando no valor mensal estimado por empregado em cada item.</t>
    </r>
  </si>
  <si>
    <r>
      <rPr>
        <b/>
        <sz val="12"/>
        <color theme="1"/>
        <rFont val="Arial"/>
        <family val="2"/>
      </rPr>
      <t>Alínea 5.C - Equipamentos:</t>
    </r>
    <r>
      <rPr>
        <sz val="12"/>
        <color theme="1"/>
        <rFont val="Arial"/>
        <family val="2"/>
      </rPr>
      <t xml:space="preserve"> Há a necessidade do emprego de equipamentos e máquinas diretamente na execução dos serviços, conforme planilha de Equipamentos, anexo ao presente processo.  O custo dos equipamentos foi obtido após realizada ampla pesquisa de mercado, adotando-se o valor médio dos preço encontrado. Diferentemente dos materiais, os equipamentos não são cotados na planilha pelo valor de aquisição integral, mas apenas o valor equivalente à taxa de depreciação anual, conforme discutido pelo TCU no âmbito do Acórdão TCU nº 966/2010 – Plenário. O prazo de vida útil e a taxa de depreciação anual de equipamentos são definidos atualmente pela Instrução Normativa RFB nº 1.700, de 14/03/2017. Primeiramente, estima-se o custo anual de cada equipamento, após realização de pesquisa de mercado, multiplicando-se esse valor pela taxa anual de depreciação e, ainda, pelo número de meses no ano. Esse resultado deverá ser dividido pelo número total de empregados, para ser calculado o custo dos equipamentos por empregado.</t>
    </r>
  </si>
  <si>
    <r>
      <rPr>
        <b/>
        <sz val="12"/>
        <color theme="1"/>
        <rFont val="Arial"/>
        <family val="2"/>
      </rPr>
      <t>Metodologia de Cálculo:</t>
    </r>
    <r>
      <rPr>
        <sz val="12"/>
        <color theme="1"/>
        <rFont val="Arial"/>
        <family val="2"/>
      </rPr>
      <t xml:space="preserve"> Foi realizada pesquisa de mercado, de acordo com a Portaria nº 514/2018 - MPOG, sendo utilizado em média 3 valores para cada equipamento, após foi calculado o valor médio dos equipamentos. Foi adotando como vida últil estimada  de 10 anos para os equipamentos e depreciação de 10% ao ano e Valor Residual de 10%, conforme referência NCM 8543, da Instrução Normativa RFB nº 1.700, de 14/03/2017. Com isso, subtraiu-se o valor residual (10%) do Valor total dos equipamentos, após, dividiu-se o resultado pela média de anos de vida últil dos equipamentos e posteriormente dividiu-se por 12 meses, obtendo o valor a ser pago de depreciação mensal dos equipamentos, foi somado a esse valor o percentual de 0,5% mensal, sobre o valor total de equipamentos, referente a manutenção, logo após, esse resultado foi dividido pela quantidade total de empregados, resultando no valor de depreciação mensal e manutenção por empregado a ser pago para a contratada.</t>
    </r>
  </si>
  <si>
    <t>Média dos percentuais de Custos Indiretos de propostas de empresas de limpeza e conservação do MPU.</t>
  </si>
  <si>
    <t>Percentual mínimo do Caderno Técnico SEGES/ME, Auditoria CGU.</t>
  </si>
  <si>
    <t>Soma do PIS + Cofins + ISS</t>
  </si>
  <si>
    <t>C.1</t>
  </si>
  <si>
    <t>PIS</t>
  </si>
  <si>
    <t>Lei Complementar nº 7/1970</t>
  </si>
  <si>
    <t>C.2</t>
  </si>
  <si>
    <t>Cofins</t>
  </si>
  <si>
    <t>Lei Complementar nº 70/1991</t>
  </si>
  <si>
    <t>C.3</t>
  </si>
  <si>
    <t>ISS</t>
  </si>
  <si>
    <t>Lei Complementar nº 5/2017</t>
  </si>
  <si>
    <r>
      <rPr>
        <b/>
        <sz val="12"/>
        <color theme="1"/>
        <rFont val="Arial"/>
        <family val="2"/>
      </rPr>
      <t>Alínea 6.A - Custos Indiretos:</t>
    </r>
    <r>
      <rPr>
        <sz val="12"/>
        <color theme="1"/>
        <rFont val="Arial"/>
        <family val="2"/>
      </rPr>
      <t xml:space="preserve"> Custos indiretos são os custos envolvidos na execução contratual decorrentes dos gastos da contratada com sua estrutura administrativa, organizacional e gerenciamento de seus contratos, calculados mediante incidência de um percentual sobre o somatório do efetivamente executado pela empresa, a exemplo da remuneração, benefícios mensais e diários, insumos diversos, encargos sociais e trabalhistas, tais como  os dispêndios relativos a: a) funcionamento e manutenção da sede, aluguel, água, luz, telefone, Imposto Predial Territorial Urbano (IPTU), dentre outros; b) pessoal administrativo; c) material e equipamentos de escritório; d) preposto; e e) seguros. O CBMDF resolvel utilizar os estudos realizados pela Auditoria Interna do MPU, considerando-se a média dos percentuais dos custos indiretos incluídos nas propostas de empresas contratadas para a prestação de serviços de limpeza e conservação nas unidades gestoras do MPU em todo país, resultando no percentual de 4,73%.</t>
    </r>
  </si>
  <si>
    <r>
      <rPr>
        <b/>
        <sz val="12"/>
        <color theme="1"/>
        <rFont val="Arial"/>
        <family val="2"/>
      </rPr>
      <t>Base de Cálculo:</t>
    </r>
    <r>
      <rPr>
        <sz val="12"/>
        <color theme="1"/>
        <rFont val="Arial"/>
        <family val="2"/>
      </rPr>
      <t xml:space="preserve"> Módulo 1 + Módulo 2 + Módulo 3 + Módulo 4 + Módulo 5</t>
    </r>
  </si>
  <si>
    <r>
      <rPr>
        <b/>
        <sz val="12"/>
        <color theme="1"/>
        <rFont val="Arial"/>
        <family val="2"/>
      </rPr>
      <t>Percentual:</t>
    </r>
    <r>
      <rPr>
        <sz val="12"/>
        <color theme="1"/>
        <rFont val="Arial"/>
        <family val="2"/>
      </rPr>
      <t xml:space="preserve"> 4,73%</t>
    </r>
  </si>
  <si>
    <t>(Módulo 1 + Módulo 2 + Módulo 3 + Módulo 4 + Módulo 5) x Taxa %</t>
  </si>
  <si>
    <r>
      <rPr>
        <b/>
        <sz val="12"/>
        <color theme="1"/>
        <rFont val="Arial"/>
        <family val="2"/>
      </rPr>
      <t>Metodologia de Cálculo:</t>
    </r>
    <r>
      <rPr>
        <sz val="12"/>
        <color theme="1"/>
        <rFont val="Arial"/>
        <family val="2"/>
      </rPr>
      <t xml:space="preserve"> Esses custos são pesquisados no mercado de empresas prestadoras de serviço, a fim de se obter a taxa média de custos indiretos praticada, porém em termos percentuais. Estes percentuais incidirão sobre o total das despesas com mão de obra e insumos (somatório dos Módulos 1 a 5). </t>
    </r>
  </si>
  <si>
    <r>
      <rPr>
        <b/>
        <sz val="12"/>
        <color theme="1"/>
        <rFont val="Arial"/>
        <family val="2"/>
      </rPr>
      <t>Alínea 6.B - Lucro:</t>
    </r>
    <r>
      <rPr>
        <sz val="12"/>
        <color theme="1"/>
        <rFont val="Arial"/>
        <family val="2"/>
      </rPr>
      <t xml:space="preserve"> O lucro é o ganho decorrente da exploração da atividade econômica, calculado mediante incidência percentual sobre o efetivamente executado pela empresa, a exemplo da remuneração, benefícios mensais e diários, encargos sociais e trabalhistas, insumos diversos e custos indiretos. O percentual de lucro utilizado no presente plenajamento de contratação de serviço de limpeza e conservação foi retirado da Auditoria da Controladoria Geral da União (CGU) em avaliação da contratação da Polícia Federal, onde informa, que de acordo com o Caderno Técnico da SEGES/ME, os cénarios máximo e mínimo para percentuais de CITL a serem adotados.</t>
    </r>
  </si>
  <si>
    <r>
      <rPr>
        <b/>
        <sz val="12"/>
        <color theme="1"/>
        <rFont val="Arial"/>
        <family val="2"/>
      </rPr>
      <t>Base de Cálculo:</t>
    </r>
    <r>
      <rPr>
        <sz val="12"/>
        <color theme="1"/>
        <rFont val="Arial"/>
        <family val="2"/>
      </rPr>
      <t xml:space="preserve"> Módulo 1 + Módulo 2 + Módulo 3 + Módulo 4 + Módulo 5 + Custos Indiretos</t>
    </r>
  </si>
  <si>
    <r>
      <rPr>
        <b/>
        <sz val="12"/>
        <color theme="1"/>
        <rFont val="Arial"/>
        <family val="2"/>
      </rPr>
      <t>Percentual:</t>
    </r>
    <r>
      <rPr>
        <sz val="12"/>
        <color theme="1"/>
        <rFont val="Arial"/>
        <family val="2"/>
      </rPr>
      <t xml:space="preserve"> 3,90%</t>
    </r>
  </si>
  <si>
    <t>(Módulo 1 + Módulo 2 + Módulo 3 + Módulo 4 + Módulo 5 + Custos Indiretos) x Taxa %</t>
  </si>
  <si>
    <r>
      <rPr>
        <b/>
        <sz val="12"/>
        <color theme="1"/>
        <rFont val="Arial"/>
        <family val="2"/>
      </rPr>
      <t>Metodologia de Cálculo:</t>
    </r>
    <r>
      <rPr>
        <sz val="12"/>
        <color theme="1"/>
        <rFont val="Arial"/>
        <family val="2"/>
      </rPr>
      <t xml:space="preserve"> O lucro incide sobre o total das despesas com mão de obra e insumos (somatório dos Módulos 1 a 5), mais os custos indiretos.</t>
    </r>
  </si>
  <si>
    <r>
      <rPr>
        <b/>
        <sz val="12"/>
        <color theme="1"/>
        <rFont val="Arial"/>
        <family val="2"/>
      </rPr>
      <t>Alínea 6.C - Tributos:</t>
    </r>
    <r>
      <rPr>
        <sz val="12"/>
        <color theme="1"/>
        <rFont val="Arial"/>
        <family val="2"/>
      </rPr>
      <t xml:space="preserve"> Os tributos são definidos por lei e decorrem da atividade de prestação de serviços e, somente alguns, os quais veremos a seguir, podem ser  repassados ao contratante. É vedada a inclusão na planilha orçamentária, de tributos diretos (tais como Imposto de Renda e Contribuição Social Sobre o Lucro Líquido), porquanto estreitamente vinculados ao resultado final líquido da empresa, não guardando relação específica com a contratação. Por essa razão não se admite a cotação de tributos como o IRPJ e a CSLL, seja em itens distintos, seja como custos integrantes dos custos indiretos/BDI, conforme a Súmula TCU nº 254/2010. Devem ser cotados os tributos federais, estaduais e municipais, incidentes sobre o faturamento pela prestação dos serviços. Logo, a base de cálculo dos tributos mencionados é o custo total do serviço, por empregado (mão de obra, insumos, custos indiretos e demais tributos).</t>
    </r>
  </si>
  <si>
    <r>
      <rPr>
        <b/>
        <sz val="12"/>
        <color theme="1"/>
        <rFont val="Arial"/>
        <family val="2"/>
      </rPr>
      <t>Base de Cálculo:</t>
    </r>
    <r>
      <rPr>
        <sz val="12"/>
        <color theme="1"/>
        <rFont val="Arial"/>
        <family val="2"/>
      </rPr>
      <t xml:space="preserve"> Custo total do serviço, por empregado (mão de obra, insumos, custos indiretos e demais tributos)</t>
    </r>
  </si>
  <si>
    <r>
      <rPr>
        <b/>
        <sz val="12"/>
        <color theme="1"/>
        <rFont val="Arial"/>
        <family val="2"/>
      </rPr>
      <t>Percentual:</t>
    </r>
    <r>
      <rPr>
        <sz val="12"/>
        <color theme="1"/>
        <rFont val="Arial"/>
        <family val="2"/>
      </rPr>
      <t xml:space="preserve"> 8,65%</t>
    </r>
  </si>
  <si>
    <r>
      <rPr>
        <u/>
        <sz val="12"/>
        <color theme="1"/>
        <rFont val="Arial"/>
        <family val="2"/>
      </rPr>
      <t>(Somatório dos Módulos 1 + 2 + 3 + 4 + 5 + Custos Indiretos + Lucro)</t>
    </r>
    <r>
      <rPr>
        <sz val="12"/>
        <color theme="1"/>
        <rFont val="Arial"/>
        <family val="2"/>
      </rPr>
      <t xml:space="preserve"> x % Tributo                                                                                                       (1 - ∑ % dos Tributos)</t>
    </r>
  </si>
  <si>
    <r>
      <rPr>
        <b/>
        <sz val="12"/>
        <color theme="1"/>
        <rFont val="Arial"/>
        <family val="2"/>
      </rPr>
      <t>Metodologia de Cálculo:</t>
    </r>
    <r>
      <rPr>
        <sz val="12"/>
        <color theme="1"/>
        <rFont val="Arial"/>
        <family val="2"/>
      </rPr>
      <t xml:space="preserve"> Os tributos têm como base de cálculo o valor do faturamento, conforme consta da Nota 2 do Módulo 6 do Anexo VII-D da IN SEGES/MPDG nº 5/2017, que é calculado por meio da soma das despesas com mão de obra e insumos (somatório dos Módulos 1 a 5), mais os custos indiretos e, ainda, o lucro, dividindo-se, ainda, pela diferença entre a unidade (1) e o somatório dos tributos PIS, Cofins e ISS (8,65%). Por fim, o resultado dessa equação é multiplicado pelo respectivo percentual do encargo.</t>
    </r>
  </si>
  <si>
    <r>
      <rPr>
        <b/>
        <sz val="12"/>
        <color theme="1"/>
        <rFont val="Arial"/>
        <family val="2"/>
      </rPr>
      <t>Alínea 6.C.1 - PIS:</t>
    </r>
    <r>
      <rPr>
        <sz val="12"/>
        <color theme="1"/>
        <rFont val="Arial"/>
        <family val="2"/>
      </rPr>
      <t xml:space="preserve"> A Contribuição para o Programa de Integração Social (PIS), instituída pela Lei Complementar nº 7/1970, tem por fim financiar o abono anual para trabalhadores de baixa renda e o seguro desemprego, conforme prescreve o art. 239 da CF/1988. Tal contribuição tem por base de cálculo o faturamento mensal da empresa, incidindo, portanto, sobre o valor dos serviços objeto do contrato, conforme a Lei nº 10.833/2003, na alíquota de 0,65% para as empresas prestadoras de serviço de limpeza (arts. 30, caput, e 31). </t>
    </r>
  </si>
  <si>
    <r>
      <rPr>
        <b/>
        <sz val="12"/>
        <color theme="1"/>
        <rFont val="Arial"/>
        <family val="2"/>
      </rPr>
      <t>Percentual:</t>
    </r>
    <r>
      <rPr>
        <sz val="12"/>
        <color theme="1"/>
        <rFont val="Arial"/>
        <family val="2"/>
      </rPr>
      <t xml:space="preserve"> 0,65%</t>
    </r>
  </si>
  <si>
    <r>
      <rPr>
        <b/>
        <sz val="12"/>
        <color theme="1"/>
        <rFont val="Arial"/>
        <family val="2"/>
      </rPr>
      <t>Alínea 6.C.2 - Cofins:</t>
    </r>
    <r>
      <rPr>
        <sz val="12"/>
        <color theme="1"/>
        <rFont val="Arial"/>
        <family val="2"/>
      </rPr>
      <t xml:space="preserve"> A Contribuição para o Financiamento da Seguridade Social (COFINS), prevista no inc. I do art. 195 da CF/1988 e instituída pela Lei Complementar nº 70/1991, trata-se de contribuição para a Seguridade Social. Tem por base de cálculo a receita ou faturamento da empresa, incidindo, portanto, sobre o valor dos serviços objeto do contrato. Tal contribuição tem por base de cálculo o faturamento mensal da empresa, incidindo, portanto, sobre o valor dos serviços objeto do contrato, conforme a Lei nº 10.833/2003, na alíquota de 3% para as empresas prestadoras de serviço de limpeza (arts. 30, caput, e 31).</t>
    </r>
  </si>
  <si>
    <r>
      <rPr>
        <b/>
        <sz val="12"/>
        <color theme="1"/>
        <rFont val="Arial"/>
        <family val="2"/>
      </rPr>
      <t>Percentual:</t>
    </r>
    <r>
      <rPr>
        <sz val="12"/>
        <color theme="1"/>
        <rFont val="Arial"/>
        <family val="2"/>
      </rPr>
      <t xml:space="preserve"> 3%</t>
    </r>
  </si>
  <si>
    <r>
      <rPr>
        <b/>
        <sz val="12"/>
        <color theme="1"/>
        <rFont val="Arial"/>
        <family val="2"/>
      </rPr>
      <t>Alínea 6.C.3 - ISS:</t>
    </r>
    <r>
      <rPr>
        <sz val="12"/>
        <color theme="1"/>
        <rFont val="Arial"/>
        <family val="2"/>
      </rPr>
      <t xml:space="preserve"> No âmbito do município em que os serviços são prestados, há a incidência do Imposto Sobre Serviços de Qualquer Natureza (ISS), conforme previsto no  art. 156, III, da Constituição Federal de 1988. A Lei Complementar nº 116/2003, por sua vez, definiu como fato gerador do imposto a prestação de serviços constantes da listagem anexa à norma e definiu como base de cálculo o preço do serviço, limitando a alíquota máxima do ISS em 5%. Conforme Lei Complementar nº 5/2017, a alíquota adotada será de 5%, de acordo com o serviço a ser contratado.</t>
    </r>
  </si>
  <si>
    <r>
      <rPr>
        <b/>
        <sz val="12"/>
        <color theme="1"/>
        <rFont val="Arial"/>
        <family val="2"/>
      </rPr>
      <t>Percentual:</t>
    </r>
    <r>
      <rPr>
        <sz val="12"/>
        <color theme="1"/>
        <rFont val="Arial"/>
        <family val="2"/>
      </rPr>
      <t xml:space="preserve"> 5%</t>
    </r>
  </si>
  <si>
    <t>MATERIAIS DE CONSUMO ITEM 1</t>
  </si>
  <si>
    <t>SUBITEM</t>
  </si>
  <si>
    <t>REFERÊNCIA</t>
  </si>
  <si>
    <t>UNID.</t>
  </si>
  <si>
    <t>VALOR TOTAL</t>
  </si>
  <si>
    <t>Ácido Múriatico</t>
  </si>
  <si>
    <t>Star</t>
  </si>
  <si>
    <t>Litro</t>
  </si>
  <si>
    <t>Água Sanitária de 1ª Qualidade</t>
  </si>
  <si>
    <t>Bigbão</t>
  </si>
  <si>
    <t>Álcool 92ºC de 1ª Qualidade</t>
  </si>
  <si>
    <t>Nobre</t>
  </si>
  <si>
    <t>Aromatizante de ambientes 1/100. Galão 5 litros</t>
  </si>
  <si>
    <t>Klimp</t>
  </si>
  <si>
    <t>Galão</t>
  </si>
  <si>
    <t>Aromatizante de ambientes em Spray</t>
  </si>
  <si>
    <t>No Ar</t>
  </si>
  <si>
    <t>Armação para Mop pó base PROFI</t>
  </si>
  <si>
    <t>Bettannim</t>
  </si>
  <si>
    <t>Balde plástico reforçado de 20 litros</t>
  </si>
  <si>
    <t>Plasnew</t>
  </si>
  <si>
    <t>Balde plástico reforçado de 10 litros</t>
  </si>
  <si>
    <t>Brilha Inox Scotch-Brite, lata com 420g</t>
  </si>
  <si>
    <t>3M</t>
  </si>
  <si>
    <t>Lata</t>
  </si>
  <si>
    <t>Cabo em alumínio estriado e anodizado com suporte em plástico, para Mop</t>
  </si>
  <si>
    <t>Cera de carnaúba</t>
  </si>
  <si>
    <t>Start</t>
  </si>
  <si>
    <t>Cera em pasta, lata de 400gr, 1ª qualidade</t>
  </si>
  <si>
    <t>Inglesa</t>
  </si>
  <si>
    <t>Cera líquida autobrilhante, galão de 5 litros</t>
  </si>
  <si>
    <t>Cera traffic auto brilho incolor antiderrapante, galão de 5 litros</t>
  </si>
  <si>
    <t>Creolina, 1ª Qualidade</t>
  </si>
  <si>
    <t>Ufenol</t>
  </si>
  <si>
    <t>Desentupidor de pia</t>
  </si>
  <si>
    <t>Rodobem</t>
  </si>
  <si>
    <t>Desentupidor de vaso</t>
  </si>
  <si>
    <t>Desinfetante concentrado 1/200, galão de 5 litros</t>
  </si>
  <si>
    <t>Pedra/Odorizante Sanitário</t>
  </si>
  <si>
    <t>Sany Bril</t>
  </si>
  <si>
    <t>Tela Perfumada para Mictório</t>
  </si>
  <si>
    <t>Detergente líquido neutro biodegradável, de 1ª qualidade, para piso vinílico - 1/100, galão de 5 litros</t>
  </si>
  <si>
    <t>Disco bege ou branco 380</t>
  </si>
  <si>
    <t>Superbrite</t>
  </si>
  <si>
    <t>Disco bege ou Branco 440</t>
  </si>
  <si>
    <t>Disco preto 380</t>
  </si>
  <si>
    <t>Disco preto 440</t>
  </si>
  <si>
    <t>Disco champagne 510</t>
  </si>
  <si>
    <t>Disco pele de porco 510</t>
  </si>
  <si>
    <t>Escova de pelo para brilho manual</t>
  </si>
  <si>
    <t>Quentzal</t>
  </si>
  <si>
    <t>Escova manual</t>
  </si>
  <si>
    <t>Incavas</t>
  </si>
  <si>
    <t>Escova sanitária</t>
  </si>
  <si>
    <t>Espanador de nylon</t>
  </si>
  <si>
    <t>Duster</t>
  </si>
  <si>
    <t>Espanador eletrostático</t>
  </si>
  <si>
    <t>Certec</t>
  </si>
  <si>
    <t>Espanador de pena 25cm</t>
  </si>
  <si>
    <t>Espátula</t>
  </si>
  <si>
    <t>Famastil</t>
  </si>
  <si>
    <t>Esponja dupla face verde/amarelo</t>
  </si>
  <si>
    <t>Essência aromatizante concentrada 1/100, galão de 5 litros</t>
  </si>
  <si>
    <t>Danúbio</t>
  </si>
  <si>
    <t>Fibra para limpeza pesada para suporte LT</t>
  </si>
  <si>
    <t>Inseticida concentrado</t>
  </si>
  <si>
    <t>Baygon</t>
  </si>
  <si>
    <t>Lã de aço 8x60g</t>
  </si>
  <si>
    <t>Brilhoma</t>
  </si>
  <si>
    <t>Pacote</t>
  </si>
  <si>
    <t>Limpa alumínio 1/5, galão de 5 litros</t>
  </si>
  <si>
    <t>Limpa carpete 1/20, galão de 5 litros</t>
  </si>
  <si>
    <t>Limpa cerâmica 1/15, galão de 5 litros</t>
  </si>
  <si>
    <t>Limpa pedra concentrado 1/10</t>
  </si>
  <si>
    <t>Limpa vidros concentrado, galão de 5 litros</t>
  </si>
  <si>
    <t>Limpador multiuso concentrado 1/5, galão de 5 litros</t>
  </si>
  <si>
    <t>Lustra móveis</t>
  </si>
  <si>
    <t>Luva de borracha grande</t>
  </si>
  <si>
    <t>Protemax</t>
  </si>
  <si>
    <t>Par</t>
  </si>
  <si>
    <t>Luva de borracha média</t>
  </si>
  <si>
    <t>Óleo de peroba - 100ml</t>
  </si>
  <si>
    <t>King</t>
  </si>
  <si>
    <t>Pá de lixo funda (p/ água)</t>
  </si>
  <si>
    <t>Pá coletora plástica com tampa (com cabo)</t>
  </si>
  <si>
    <t>Palha de aço, pacote com 20</t>
  </si>
  <si>
    <t>Sany Brilho</t>
  </si>
  <si>
    <t>Papel higiênico de 1ª qualidade, folha dupla extra picotado, rolo de 30m</t>
  </si>
  <si>
    <t>Softys</t>
  </si>
  <si>
    <t>Rolo</t>
  </si>
  <si>
    <t>Papel toalha interfolha, branco, 22,5cm, duas dobras, pacote c/ 1.000 folhas</t>
  </si>
  <si>
    <t>Flamingo</t>
  </si>
  <si>
    <t>Fardo</t>
  </si>
  <si>
    <t>Pasta Jóia Cristal rosa - 500g</t>
  </si>
  <si>
    <t>Cristal</t>
  </si>
  <si>
    <t>Pasta limptec 500g</t>
  </si>
  <si>
    <t>Limptec</t>
  </si>
  <si>
    <t>Polidor de metal</t>
  </si>
  <si>
    <t>Polidoro</t>
  </si>
  <si>
    <t>Polix</t>
  </si>
  <si>
    <t>Kg</t>
  </si>
  <si>
    <t>Raticida granulado - Caixinha com 4x25g</t>
  </si>
  <si>
    <t>Kellmat</t>
  </si>
  <si>
    <t>Caixa</t>
  </si>
  <si>
    <t>Refil protetor higiênico descartável para vaso sanitário, fardo com no mínimo 90 folhas</t>
  </si>
  <si>
    <t>Premisse</t>
  </si>
  <si>
    <t>Refil Mop para água sintético, para área hospitalar, com pontas dobradas ou costuradas para evitar desfiamento</t>
  </si>
  <si>
    <t>Refil Mop para água, em algodão, com pontas dobradas ou costuradas para evitar desfiamento</t>
  </si>
  <si>
    <t>Refil Mop pó, 40cm, luva em acrílico lavável</t>
  </si>
  <si>
    <t>Bralimpia</t>
  </si>
  <si>
    <t>Refil Mop pó, 60cm, luva em acrílico lavável</t>
  </si>
  <si>
    <t>Refil para kit de limpeza de vidraça</t>
  </si>
  <si>
    <t>Bramp</t>
  </si>
  <si>
    <t>Removedor aguarrás</t>
  </si>
  <si>
    <t>Anjo</t>
  </si>
  <si>
    <t>Removedor de cera acrílica, galão de 5 litros</t>
  </si>
  <si>
    <t>Remoclean</t>
  </si>
  <si>
    <t>Renovador de piso, galão de 5 litros</t>
  </si>
  <si>
    <t>Max Top</t>
  </si>
  <si>
    <t>Rodo, 40cm de largura, com cabo</t>
  </si>
  <si>
    <t>Rodo, 50cm de largura, com cabo</t>
  </si>
  <si>
    <t>Rodo, 60cm de largura, com cabo</t>
  </si>
  <si>
    <t>Rodo, 80cm de largura, com cabo</t>
  </si>
  <si>
    <t>Sabão em barra</t>
  </si>
  <si>
    <t>Arpe</t>
  </si>
  <si>
    <t>Sabão em pó</t>
  </si>
  <si>
    <t>Surf</t>
  </si>
  <si>
    <t>Sabão concentrado 1/100, galão de 5 litros</t>
  </si>
  <si>
    <t>Sabonete líquido - refil de 800ml</t>
  </si>
  <si>
    <t>Saco branco leitoso para lixo de 100 litros, 100 unidades - reforçado</t>
  </si>
  <si>
    <t>Braslixo</t>
  </si>
  <si>
    <t>Saco branco leitoso para lixo de 40 litros, 100 unidades - reforçado</t>
  </si>
  <si>
    <t>Saco de pano alvejado para limpeza de chão</t>
  </si>
  <si>
    <t>Copalimpa</t>
  </si>
  <si>
    <t>Saco para aspirador de pó 15 ou 20 litros - com 3 unidades</t>
  </si>
  <si>
    <t>Portopel</t>
  </si>
  <si>
    <t>Saco para lixo preto 100 litros com 100 unidades - reforçado</t>
  </si>
  <si>
    <t>Saco de lixo preto 40 litros com 100 unidades - reforçado</t>
  </si>
  <si>
    <t>Sapólio em barra de 200gr</t>
  </si>
  <si>
    <t>Radium</t>
  </si>
  <si>
    <t>Thinner, lata com 0,9L</t>
  </si>
  <si>
    <t>Vassoura feiticeira</t>
  </si>
  <si>
    <t>Diversos</t>
  </si>
  <si>
    <t>Vassoura de gari 60cm</t>
  </si>
  <si>
    <t>Vassoura de pelo de 40cm</t>
  </si>
  <si>
    <t>Vassoura de pelo de 60cm</t>
  </si>
  <si>
    <t>Vassoura piaçava</t>
  </si>
  <si>
    <t>Pó k-Othrine</t>
  </si>
  <si>
    <t>Lâmbida cialotrina</t>
  </si>
  <si>
    <t>Flanela de Algodão, amarela ou laranja</t>
  </si>
  <si>
    <t>VALOR GLOBAL MENSAL ESTIMADO PARA MATERIAIS DE CONSUMO (SEM BDI)</t>
  </si>
  <si>
    <t>MATERIAIS DE CONSUMO ITEM 2</t>
  </si>
  <si>
    <t>MATERIAIS DE CONSUMO ITEM 3</t>
  </si>
  <si>
    <t>ITEM</t>
  </si>
  <si>
    <t>Ácido Peracético 0,2% esterilizante/desinfetante de alto nível, líquido a frio, pronto para uso na concentração de 0,20% (mín.) de ácido peracético com Inibidor de Corrosão. Galão de 5L.</t>
  </si>
  <si>
    <t>Rioquímica</t>
  </si>
  <si>
    <t>Álcool etílico 70%, hidratado</t>
  </si>
  <si>
    <t>Meyors</t>
  </si>
  <si>
    <t>Álcool Isopropílico Concentração 99,9%</t>
  </si>
  <si>
    <t>Auro's</t>
  </si>
  <si>
    <t>Borrifador em Plástico, tipo Spray, com bico borrifador.</t>
  </si>
  <si>
    <t>Sanremo</t>
  </si>
  <si>
    <t>Und.</t>
  </si>
  <si>
    <t>Detergente Enzimático Concentrado, para limpeza de equipamentos e artigos médicos, realizados manualmente ou em equipamentos automatizados (lavadora ultra-sônica). Galão de 5 Litros.</t>
  </si>
  <si>
    <t>Prolink</t>
  </si>
  <si>
    <t>Escova para limpeza de material em geral cerda rígida</t>
  </si>
  <si>
    <t>Hipoclorito de Sódio 2,5%, Galão de 5 litros.</t>
  </si>
  <si>
    <t>Quaternário de amônio Desinfetante hospitalar para superfícies fixas. Galão de 5 Litros</t>
  </si>
  <si>
    <t>QUADRO-RESUMO DO VALOR DE MATERIAIS DE CONSUMO POR EMPREGADO</t>
  </si>
  <si>
    <t>VALOR MENSAL COM DESCONTO DA COFINS</t>
  </si>
  <si>
    <t>VALOR POR EMPREGADO        (SEM BDI)</t>
  </si>
  <si>
    <t>Material de Consumo para Unidades Operacionais (Áreas 01 à 32 de segunda a domingo)</t>
  </si>
  <si>
    <t>Material de Consumo para Unidades Administrativas (Áreas 33 à 46 de segunda a sexta-feira)</t>
  </si>
  <si>
    <t>Material de Consumo para Unidades Hospitalares (Áreas 47 à 51 de segunda a sexta-feira)</t>
  </si>
  <si>
    <t>VALOR GLOBAIS ESTIMADO DE MATERIAIS DE CONSUMO</t>
  </si>
  <si>
    <t>Os materiais de consumo, listados nas Planilhas acima, deverão ser repostos nos locais de execução do serviço sempre que necessário mantendo o bom nível de limpeza e conservação exigídos no contrato;</t>
  </si>
  <si>
    <t>As marcas listadas neste anexo servem apenas de referência do padrão de qualidade exigido; serão aceitos materiais equivalentes, desde que aprovados pelos executores;</t>
  </si>
  <si>
    <t>Os quantitativos de materiais são referenciais e destinam-se a definição dos valores base da licitação. Tais quantitativos poderão ser aumentados ou reduzidos desde que se matenha a qualidade dos serviços exigídos;</t>
  </si>
  <si>
    <t>Os Valores constantes deste Anexo são meramente estimativos e destinam-se a definição dos valores base da licitação;</t>
  </si>
  <si>
    <t>A CONTRATADA deverá responsabilizar-se pelo fornecimento de todos os materiais e equipamentos, nas quantidades necessárias à perfeita execução dos serviços</t>
  </si>
  <si>
    <t>Poderá ser necessário o uso de materiais ou equipamentos não incluídos na estimativa de custos, devido à eventualidade com que os serviços serão efetuados. A CONTRATADA deverá possuir os meios para a disponibilização desses materiais e equipamentos, os quais somente serão empregados após autorização expressa da Fiscalização.</t>
  </si>
  <si>
    <t>O tamanho das unidades de fornecimento (litro, unid., fardo, etc) é meramente exemplificativo, podendo ser fornecidos em embalagens com capacidades diferentes das apesentadas ou de forma concentrada que possa ser diluida em água, desde que, não comprometam a qualidade do serviço.</t>
  </si>
  <si>
    <t>Os valores constantes da tabela são exemplificativos, as empresa deverão cotar os valores de mercado obtidos junto aos respectivos fornecedores.</t>
  </si>
  <si>
    <t>EQUIPA MENTOS - ITEM 1 (ÁREAS 01 À 32)</t>
  </si>
  <si>
    <r>
      <rPr>
        <b/>
        <sz val="11"/>
        <color theme="1"/>
        <rFont val="Arial"/>
        <family val="2"/>
      </rPr>
      <t>ASPIRADOR DE PÓ</t>
    </r>
    <r>
      <rPr>
        <sz val="11"/>
        <color theme="1"/>
        <rFont val="Arial"/>
        <family val="2"/>
      </rPr>
      <t>, Potência: mínima de 1.300W, Capacidade: mínimo de 02 litros, Características Adicionais: alça ergonômica, coletor de pano com capacidade mínimo de 02 litros, cordão elétrico de no mínimo 04 metros, 01 acessório para tapetes, carpetes e lisos, 01 acessório para cantos e frestas, 01 acessório para estofados, móveis e tecidos, 02 tubos.</t>
    </r>
  </si>
  <si>
    <t>Karcher ou similar</t>
  </si>
  <si>
    <r>
      <rPr>
        <b/>
        <sz val="11"/>
        <color theme="1"/>
        <rFont val="Arial"/>
        <family val="2"/>
      </rPr>
      <t>Kit para limpeza de vidros</t>
    </r>
    <r>
      <rPr>
        <sz val="11"/>
        <color theme="1"/>
        <rFont val="Arial"/>
        <family val="2"/>
      </rPr>
      <t xml:space="preserve"> com: 01 Extensão telescópica 1 a 3 m, 01 Cabo de fixação, 01 lavador de vidros 35 cm,01 Guia removível de 15 cm, 01 Luva para lavador 35 cm ,01 Guia removível de 25 cm , 01 lâmina de borracha 91 cm, 01 Guia removível de 35cm, 01 Suporte para uso de fibra, 01 Guia removível de 45 cm , 01 Fibra macia, 01 Raspador de segurança, 01 Espanador eletrostático, Lâminas para raspagem, 01 Adaptador angular, 01 Raspador multiuso e 1 Pulverizador.</t>
    </r>
  </si>
  <si>
    <t>Columbus / Bralimpia</t>
  </si>
  <si>
    <r>
      <rPr>
        <b/>
        <sz val="11"/>
        <color theme="1"/>
        <rFont val="Arial"/>
        <family val="2"/>
      </rPr>
      <t>LAVADORA DE ALTA PRESSÃO</t>
    </r>
    <r>
      <rPr>
        <sz val="11"/>
        <color theme="1"/>
        <rFont val="Arial"/>
        <family val="2"/>
      </rPr>
      <t xml:space="preserve"> de 220V, com alça de transporte, pressão e vazão mínimas de 2.000 Lbs e 1.200 l/h.</t>
    </r>
  </si>
  <si>
    <r>
      <rPr>
        <b/>
        <sz val="11"/>
        <color theme="1"/>
        <rFont val="Arial"/>
        <family val="2"/>
      </rPr>
      <t>ENCERADEIRA INDUSTRIAL</t>
    </r>
    <r>
      <rPr>
        <sz val="11"/>
        <color theme="1"/>
        <rFont val="Arial"/>
        <family val="2"/>
      </rPr>
      <t xml:space="preserve"> elétrica equipada com sistema de acondicionamento, com câmara de transmissão por engrenagens helicoidais, Tipo: industrial, Dispositivo De Segurança : através de acionamento liga/desliga, oferecendo maior comodidade para o operador, Potência Motor: de no mínimo 1,0 cv, Voltagem: 220 volts, Acessórios: acompanha: 01 escova de nylon para lavar, 01 escova de fibras vegetais para encerar/lustrar com diâmetro de 440 mm, Características Adicionais: silenciosa e de fácil manuseio.</t>
    </r>
  </si>
  <si>
    <t>Bandeirante</t>
  </si>
  <si>
    <r>
      <rPr>
        <b/>
        <sz val="11"/>
        <color theme="1"/>
        <rFont val="Arial"/>
        <family val="2"/>
      </rPr>
      <t>ESCADA</t>
    </r>
    <r>
      <rPr>
        <sz val="11"/>
        <color theme="1"/>
        <rFont val="Arial"/>
        <family val="2"/>
      </rPr>
      <t xml:space="preserve"> de ferro com 06 (seis) degraus, e sapatas antiderrapantes.</t>
    </r>
  </si>
  <si>
    <r>
      <rPr>
        <b/>
        <sz val="11"/>
        <color theme="1"/>
        <rFont val="Arial"/>
        <family val="2"/>
      </rPr>
      <t>ESCADA EXTENSÍVEL OU ARTICULADA</t>
    </r>
    <r>
      <rPr>
        <sz val="11"/>
        <color theme="1"/>
        <rFont val="Arial"/>
        <family val="2"/>
      </rPr>
      <t>, com no mínimo 14 degraus e dimensões de aproximadamente 3,50 metros fechada.</t>
    </r>
  </si>
  <si>
    <r>
      <rPr>
        <b/>
        <sz val="11"/>
        <color theme="1"/>
        <rFont val="Arial"/>
        <family val="2"/>
      </rPr>
      <t>MANGUEIRA DE BORRACHA</t>
    </r>
    <r>
      <rPr>
        <sz val="11"/>
        <color theme="1"/>
        <rFont val="Arial"/>
        <family val="2"/>
      </rPr>
      <t xml:space="preserve"> reforçada, lonada 3/4" e 50 m de comprimento.</t>
    </r>
  </si>
  <si>
    <r>
      <rPr>
        <b/>
        <sz val="11"/>
        <color theme="1"/>
        <rFont val="Arial"/>
        <family val="2"/>
      </rPr>
      <t>CARRO FUNCIONAL</t>
    </r>
    <r>
      <rPr>
        <sz val="11"/>
        <color theme="1"/>
        <rFont val="Arial"/>
        <family val="2"/>
      </rPr>
      <t>, medida: 116 cm comprimento x 30 cm largura x 100 cm altura, peso aproximado 18 kg. Produzido 100% em polipropileno, com saco de poliéster, no mínimo 03 (três) prateleiras e mais: 01 (um) balde espremedor doblô 30 litros, c/ divisão para água limpa e água suja, 01 (um) conjunto Mop líquido,
com cabo em alumínio, 01 haste, 01 (um) refil Mop líquido 320 g, 02 (duas) Placas de Sinalização Piso Molhado, 01 (uma) Pá Coletora Pop, 01 (um) conjunto Mop Pó com cabo em Alumínio, 01 (uma) Armação, 01 (um) refil Mop Pó 60 cm.</t>
    </r>
  </si>
  <si>
    <t>Bettanim</t>
  </si>
  <si>
    <t>VALOR TOTAL DE EQUIPAMENTOS</t>
  </si>
  <si>
    <t>DEPRECIAÇÃO MENSAL (Adotado 10 anos como vida últil e 10% de valor residual)</t>
  </si>
  <si>
    <t>MANUTENÇÃO MENSAL(Adotado 0,5% a.m.)</t>
  </si>
  <si>
    <t>DEPRECIAÇÃO MENSAL + MANUTENÇÃO MENSAL</t>
  </si>
  <si>
    <t>DEPRECIAÇÃO MENSAL + MANUTENÇÃO MENSAL POR EMPREGADO</t>
  </si>
  <si>
    <t>EQUIPA MENTOS - ITEM 2 (ÁREAS 33 À 46)</t>
  </si>
  <si>
    <t>EQUIPA MENTOS - ITEM 3 (ÁREAS 47 À 51)</t>
  </si>
  <si>
    <t>Os equipamentos listados nas Planilhas acima, serão pagos pelo Contratante de acordo com a depreciação mensal, e uma taxa máxima de 0,5% a.m. a título de manutenção;</t>
  </si>
  <si>
    <t>As marcas listadas neste Anexo servem apenas de referência do padrão de qualidade exigido; serão aceitos materiais equivalentes, desde que aprovados pelos executores.</t>
  </si>
  <si>
    <t>Os quantitativos de equipamentos são referenciais e destinam-se a definição dos valores base da contratação. Tais quantitativos poderão ser aumentados ou reduzidos em decorrência da variação da demanda dos serviços.</t>
  </si>
  <si>
    <t>Mensalmente, para fins de atestação de faturas e pagamento, serão realizadas pesquisas junto aos comandantes de cada Unidade para confirmação da disponibilidade dos equipamentos empregados no atendimento do objeto;</t>
  </si>
  <si>
    <t>Os Valores constantes deste Anexo são meramente estimativos;</t>
  </si>
  <si>
    <t>A CONTRATADA deverá responsabilizar-se pelo fornecimento de todos os equipamentos, nas quantidades necessárias à perfeita execução dos serviços;</t>
  </si>
  <si>
    <t>Aqueles equipamentos entregues no início do contrato deverão ser manutenidos ou substituídos, em caso de necessidade, no decorrer da execução contratual;</t>
  </si>
  <si>
    <t>Poderá ser necessário o uso de equipamentos não incluídos na estimativa de custos, devido à eventualidade com que os serviços serão efetuados. A CONTRATADA deverá possuir os meios para a disponibilização desses equipamentos, os quais somente serão empregados após autorização expressa da Fiscalização;</t>
  </si>
  <si>
    <t>A quantidade dos equipamentos é meramente exemplificativa; contudo tais quantitativos deverão ser tomados como o mínimo necessário à formulação da proposta;</t>
  </si>
  <si>
    <t>Os valores constantes da tabela são exemplificativos, as empresa deverão cotar os valores de mercado obtidos juntos aos respectivos fornecedores.</t>
  </si>
  <si>
    <t>UNIFORMES A SEREM FORNECIDOS AOS SERVENTES</t>
  </si>
  <si>
    <t>TIPO</t>
  </si>
  <si>
    <t>INÍCIO DO CONTRATO</t>
  </si>
  <si>
    <t>QUANTIDADE SEMESTRAL</t>
  </si>
  <si>
    <t>QUANTIDADE TOTAL ATÉ O FIM DO CONTRATO</t>
  </si>
  <si>
    <t>VALOR TOTAL (CONTRATO 30 MESES)</t>
  </si>
  <si>
    <t>Preço 1</t>
  </si>
  <si>
    <t>Preço 2</t>
  </si>
  <si>
    <t>Preço 3</t>
  </si>
  <si>
    <t>MÉDIA UNITÁRIA</t>
  </si>
  <si>
    <t>Calça</t>
  </si>
  <si>
    <t>Armação Sarja 2/1 Largura (m): 1.60; Peso (g/m2) 185; composição tecido 33% Poliéster 67% Algodão; padrão santista ou similar;</t>
  </si>
  <si>
    <t>Camiseta</t>
  </si>
  <si>
    <t>Confeccionada em malha de algodão poliéster, personalizada com o nome e logomarca da empresa.</t>
  </si>
  <si>
    <t>Meias (par)</t>
  </si>
  <si>
    <t>Confeccionada em algodão, tipo soquete.</t>
  </si>
  <si>
    <t>Tênis</t>
  </si>
  <si>
    <t>Confeccionado em lona resistente, espessura 1,8mm, com forro tecido acolchoado, com palmilha em polipropileno, espessura de 3,00mm, solada em borracha de alta durabilidade, antiderrapante, ilhós de alumínio, com cadarço.</t>
  </si>
  <si>
    <t>Boné</t>
  </si>
  <si>
    <t>Boné tipo Legionário com proteções laterais e de pescoço, presas por meio de costura, regulagem de tamanho na parte de trás por meio de presilha plástica, podendo vir com a logomarca da CONTRATADA.</t>
  </si>
  <si>
    <t>VALOR TOTAL DE UNIFORMES PARA SERVENTE (CONTRATO DE 30 MESES)</t>
  </si>
  <si>
    <t>UNIFORMES A SEREM FORNECIDOS AOS ENCARREGADOS</t>
  </si>
  <si>
    <t>Valor do Conjunto</t>
  </si>
  <si>
    <t>Blazer / Calça</t>
  </si>
  <si>
    <t>Em tecido de microfibra, externo e interno 100% poliéster, sendo o paletó forrado internamente, inclusive manga em tecido cetim e calça social.</t>
  </si>
  <si>
    <t>Blusa</t>
  </si>
  <si>
    <t>Confeccionada em tricoline misto, com gola, abertura frontal, com bolso do lado esquerdo.</t>
  </si>
  <si>
    <t>Modelo meia calça, em tecido liso 84% poliamida e 16% elastano, tamanho condizente com o manequim.</t>
  </si>
  <si>
    <t>Sapatos</t>
  </si>
  <si>
    <t>Modelo scarpin, gáspea lisa, sem cadarço, solado de borracha termoplástica com desenho antiderrapante, e anabela, o salto inteiriço e altura entre 03 a 04cm, na cor preta.</t>
  </si>
  <si>
    <t>VALOR TOTAL DE UNIFORMES PARA ENCARREGADO (CONTRATO DE 30 MESES)</t>
  </si>
  <si>
    <t>VALOR TOTAL DE UNIFORME SERVENTE 30 MESES</t>
  </si>
  <si>
    <t>VALOR MENSAL DE UNIFORME SERVENTE</t>
  </si>
  <si>
    <t>VALOR TOTAL DE UNIFORME ENCARREGADO 30 MESES</t>
  </si>
  <si>
    <t>VALOR MENSAL DE UNIFORME ENCARREGADO</t>
  </si>
  <si>
    <r>
      <rPr>
        <b/>
        <sz val="11"/>
        <color theme="1"/>
        <rFont val="Arial"/>
        <family val="2"/>
      </rPr>
      <t>OBS</t>
    </r>
    <r>
      <rPr>
        <sz val="11"/>
        <color theme="1"/>
        <rFont val="Arial"/>
        <family val="2"/>
      </rPr>
      <t>: De acordo com a Cláusula Quinquagésima - Uniformes da Convenção Coletiva de Trabalho 2022/2022 - Registro MTE: DF000015/2022, “</t>
    </r>
    <r>
      <rPr>
        <i/>
        <sz val="11"/>
        <color theme="1"/>
        <rFont val="Arial"/>
        <family val="2"/>
      </rPr>
      <t>Quando de uso obrigatório, no início do contrato de trabalho, as empresas fornecerão aos seus empregados, gratuitamente, 02 (dois) conjuntos de uniformes completos e 01 (um) par de meias e calçados. A cada 6 (seis) meses, será entregue 1 (um) conjunto de uniforme.”</t>
    </r>
  </si>
  <si>
    <t>ÁREAS INTERNAS</t>
  </si>
  <si>
    <t>PISOS ACARPETADOS E FRIOS</t>
  </si>
  <si>
    <t>LABORATÓRIOS</t>
  </si>
  <si>
    <t>ALMOXARIFADOS GALPÕES</t>
  </si>
  <si>
    <t>OFICINAS</t>
  </si>
  <si>
    <t>ÁREAS COM ESPAÇOS LIVRES - SAGUÃO/ HALL E SALÃO</t>
  </si>
  <si>
    <t>BANHEIROS</t>
  </si>
  <si>
    <t>M²</t>
  </si>
  <si>
    <t>ÁREAS EXTERNAS</t>
  </si>
  <si>
    <t>ESQUADRIAS EXTERNAS/ INTERNAS</t>
  </si>
  <si>
    <t>ÁREAS HOPITALARES E ASSEMELHADAS</t>
  </si>
  <si>
    <t>PISOS PAVIMENTADOS ADJACENTES/ CONTÍGUOS ÀS EDIFICAÇÕES</t>
  </si>
  <si>
    <t>VARRIÇÃO DE PASSEIOS E ARRUAMENTOS</t>
  </si>
  <si>
    <t>COLETA DE DETRITOS EM PÁTIOS E ÁREAS VERDES COM FREQUÊNCIA DIÁRIA</t>
  </si>
  <si>
    <t>SEM EXPOSIÇÃO A SITUAÇÃO DE RISCO</t>
  </si>
  <si>
    <t>ÁREA</t>
  </si>
  <si>
    <t>QUARTEL</t>
  </si>
  <si>
    <t>ÁREAS INTERNAS (M²)</t>
  </si>
  <si>
    <t>ÁREAS EXTERNAS (M²)</t>
  </si>
  <si>
    <t>QUANTIDADE DE POSTOS DE TRABALHO POR UNIDADE (SERVENTES)</t>
  </si>
  <si>
    <t>CONTRATO ANTERIOR</t>
  </si>
  <si>
    <t>P. A. F.</t>
  </si>
  <si>
    <t>A. G.</t>
  </si>
  <si>
    <t>A. E. L -         S. H. S.</t>
  </si>
  <si>
    <t>P. P. A. / C. E.</t>
  </si>
  <si>
    <t>V. P. A.</t>
  </si>
  <si>
    <t>C. D. P. A. V. F. D.</t>
  </si>
  <si>
    <t>S. E. S. R.</t>
  </si>
  <si>
    <t>QTD TOTAL</t>
  </si>
  <si>
    <t>46º GBM/GPCIU - TAGUATINGA SUL</t>
  </si>
  <si>
    <t>Cálculo Posto Trab.</t>
  </si>
  <si>
    <t>TOTAL FRACIONADO</t>
  </si>
  <si>
    <t>TOTAL ARRENDONDADO</t>
  </si>
  <si>
    <t>GAVOP/ 1º ESAVI</t>
  </si>
  <si>
    <t>GBS - VILA PLANALTO</t>
  </si>
  <si>
    <t>1º GBM - VILA PLANALTO</t>
  </si>
  <si>
    <t>4º GBM (GPRAM) - ASA NORTE</t>
  </si>
  <si>
    <t>15º GBM - ASA SUL</t>
  </si>
  <si>
    <t>7ª GBM - BRAZLÂNDIA</t>
  </si>
  <si>
    <t>19º GBM - CANDANGOLÂNDIA</t>
  </si>
  <si>
    <t>41º GBM - CEILÂNDIA NORTE</t>
  </si>
  <si>
    <t>8ª GBM - CEILÂNDIA</t>
  </si>
  <si>
    <t>NCUST (CRUZEIRO)</t>
  </si>
  <si>
    <t>16º GBM - GAMA</t>
  </si>
  <si>
    <t>13ª GBM - GUARÁ</t>
  </si>
  <si>
    <t>GAEPH</t>
  </si>
  <si>
    <t>3º GBM - SIA</t>
  </si>
  <si>
    <t>34º GBM - LAGO NORTE</t>
  </si>
  <si>
    <t>11ª GBM - LAGO SUL</t>
  </si>
  <si>
    <t>6ª GBM - N. BANDEIRANTE</t>
  </si>
  <si>
    <t>10ª GBM - PARANOÁ</t>
  </si>
  <si>
    <t>9ª GBM - PLANALTINA</t>
  </si>
  <si>
    <t>36º GBM - REC. DAS EMAS</t>
  </si>
  <si>
    <t>21º GBM - RIACHO FUNDO</t>
  </si>
  <si>
    <t>POSTO AVANÇADO SIERRA III (37º GBM)</t>
  </si>
  <si>
    <t>12ª GBM/GPRAM - SAMAMBAIA</t>
  </si>
  <si>
    <t>37º GBM - SAMAMBAIA</t>
  </si>
  <si>
    <t>18º GBM - SANTA MARIA</t>
  </si>
  <si>
    <t>17º GBM - SÃO SEBASTIÃO</t>
  </si>
  <si>
    <t>22º GBM - SOBRADINHO</t>
  </si>
  <si>
    <t>45º GBM - SUDOESTE</t>
  </si>
  <si>
    <t>2º GBM - TAGUATINGA</t>
  </si>
  <si>
    <t>25º GBM - ÁGUAS CLARAS</t>
  </si>
  <si>
    <t>POSTO AVANÇADO GBS - DELTA 1**</t>
  </si>
  <si>
    <t>X</t>
  </si>
  <si>
    <t>QUANTIDADE TOTAL DE POSTOS DE TRABALHO (SERVENTES) DO ITEM 1</t>
  </si>
  <si>
    <t>*Valores fracionados de serventes maior que 0,5 foram arrendodados para cima e valores igual ou menores que 0,5 foram arrendorados para baixo.</t>
  </si>
  <si>
    <t>LAB.</t>
  </si>
  <si>
    <t>COMANDO
GERAL</t>
  </si>
  <si>
    <t>CONTROLADORIA</t>
  </si>
  <si>
    <t>APROS</t>
  </si>
  <si>
    <t>ABMIL (Inclusive Auditório)</t>
  </si>
  <si>
    <t>CEFAP</t>
  </si>
  <si>
    <t>CETOP</t>
  </si>
  <si>
    <t>CEMEV</t>
  </si>
  <si>
    <t>DINVI</t>
  </si>
  <si>
    <t>CECAF</t>
  </si>
  <si>
    <t>CEABM / SEDE</t>
  </si>
  <si>
    <t>CEABM / CAPELANIA EVANGÉLICA</t>
  </si>
  <si>
    <t>CESMA</t>
  </si>
  <si>
    <t>CESMA (REC. DAS EMAS)</t>
  </si>
  <si>
    <t>QUANTIDADE TOTAL DE POSTOS DE TRABALHO (SERVENTES) DO ITEM 2</t>
  </si>
  <si>
    <t>*Valores fracionados de serventes maior que 0,5 foram arrendodados para cima e valores fracionados igual ou menores que 0,5 foram arrendorados para baixo.</t>
  </si>
  <si>
    <t>ÁREAS INTERNAS (M²)</t>
  </si>
  <si>
    <t>FISIOTERAPIA (ADMINISTRATIVO)</t>
  </si>
  <si>
    <t>DISAU (ADMINISTRATIVO)</t>
  </si>
  <si>
    <t>PODON (INSALUBRIDADE)**</t>
  </si>
  <si>
    <t>POMED (INSALUBRIDADE)</t>
  </si>
  <si>
    <t>QUANTIDADE TOTAL DE POSTOS DE TRABALHO (SERVENTE ADMINISTRATIVO)</t>
  </si>
  <si>
    <t>QUANTIDADE TOTAL DE POSTOS DE TRABALHO (SERVENTE INSALUBRIDADE)</t>
  </si>
  <si>
    <t>QUANTIDADE TOTAL DE POSTOS DE TRABALHO (SERVENTES) DO ITEM 3</t>
  </si>
  <si>
    <t>QTD SERVENTE</t>
  </si>
  <si>
    <t>QTD ENCARREDADO*</t>
  </si>
  <si>
    <t>QTD TOTAL DE POSTOS DE TRABALHO POR ITEM</t>
  </si>
  <si>
    <t>ADMINISTRATIVO</t>
  </si>
  <si>
    <t>INSALUBRIDADE</t>
  </si>
  <si>
    <t>FRAÇÃO</t>
  </si>
  <si>
    <t>ARRENDONDADO</t>
  </si>
  <si>
    <t>UNIDADES OPERACIONAIS - SEGUNDA À DOMINGO.</t>
  </si>
  <si>
    <t>UNIDADES ADMINISTRATIVAS - SEGUNDA À SEXTA-FEIRA.</t>
  </si>
  <si>
    <t>UNIDADES HOSPITALARES - SEGUNDA À SEXTA-FEIRA.</t>
  </si>
  <si>
    <t>SUBTOTAL ITEM 3</t>
  </si>
  <si>
    <t>QUANTIDADE TOTAL DE POSTOS DE TRABALHO PARA A CONTRATAÇÃO DO SERVIÇO DE LIMPEZA E CONSERVAÇÃO PARA O CBMDF</t>
  </si>
  <si>
    <t>*Valores fracionados de encarregados maior que 0,5 foram arrendodados para cima e valores igual ou menores que 0,5 foram arrendorados para baixo. Considerando 1 (um) Encarregado para cada 30 (trinta) Serventes.</t>
  </si>
  <si>
    <t>CÁLCULO DO VALOR DO CUSTO DO EMPREGADO POR METRO QUADRADO - ITEM 1</t>
  </si>
  <si>
    <t>SERVENTE</t>
  </si>
  <si>
    <t>R$/M²</t>
  </si>
  <si>
    <t>ENCARREGADO</t>
  </si>
  <si>
    <t>ÁREAS HOPITALARES E ASSIMELHADAS</t>
  </si>
  <si>
    <t>CÁLCULO DO VALOR DO CUSTO DO EMPREGADO POR METRO QUADRADO - ITEM 2</t>
  </si>
  <si>
    <t>CÁLCULO DO VALOR DO CUSTO DO EMPREGADO POR METRO QUADRADO - ITEM 3</t>
  </si>
  <si>
    <t>SERVENTE INSALUBRIDADE</t>
  </si>
  <si>
    <t>ESCALAS DIURNAS</t>
  </si>
  <si>
    <t>SERVENTE SEGUNDA-FEIRA À DOMINGO</t>
  </si>
  <si>
    <t>44 horas</t>
  </si>
  <si>
    <t>Nº</t>
  </si>
  <si>
    <t>SEGUNDA</t>
  </si>
  <si>
    <t>TERÇA</t>
  </si>
  <si>
    <t>QUARTA</t>
  </si>
  <si>
    <t>QUINTA</t>
  </si>
  <si>
    <t>SEXTA</t>
  </si>
  <si>
    <t>SABADO*</t>
  </si>
  <si>
    <t>DOMINGO*</t>
  </si>
  <si>
    <t>TOTAL</t>
  </si>
  <si>
    <t>DIAS EFETIVAMENTE TRABALHADOS</t>
  </si>
  <si>
    <t>TOTAL DE HORAS</t>
  </si>
  <si>
    <t>* Como os serviços serão realizados de segunda-feira a domingo, 50% dos serventes trabalharão no sábado e os outros 50% no domingo, complentando assim as 44 horas semanais.</t>
  </si>
  <si>
    <t>ENCARREGADO LIMPEZA SEGUNDA-FEIRA A DOMINGO</t>
  </si>
  <si>
    <t>* Como os serviços serão realizados de segunda-feira a domingo, 50% dos encarregados de limpeza trabalharão no sábado e os outros 50% no domingo, complentando assim as 44 horas semanais.</t>
  </si>
  <si>
    <t>SERVENTE SEGUNDA À SEXTA-FEIRA</t>
  </si>
  <si>
    <t>ENCARREGADO LIMPEZA SEGUNDA À SEXTA-FEIRA</t>
  </si>
  <si>
    <t>LISTA DE IMPERFEIÇÕES</t>
  </si>
  <si>
    <t>UNIDADE: __________________________________</t>
  </si>
  <si>
    <t>MÊS/ANO DA VERIFICAÇÃO: _______/___________</t>
  </si>
  <si>
    <t>1 -</t>
  </si>
  <si>
    <t>Permitir situação que crie a possibilidade de causar dano físico, lesão corporal ou consequências letais, por ocorrência;</t>
  </si>
  <si>
    <t>Total de Ocorrências:</t>
  </si>
  <si>
    <t>Data da Ocorrência</t>
  </si>
  <si>
    <t>Descrição Sintética</t>
  </si>
  <si>
    <t>2 -</t>
  </si>
  <si>
    <t>Suspender ou interromper, salvo motivo de força maior ou caso fortuito, os serviços contratuais por dia e por unidade/posto de atendimento;</t>
  </si>
  <si>
    <t>3 -</t>
  </si>
  <si>
    <t>Manter empregado sem a qualificação exigida para executar os serviços contratados, por empregado e por dia;</t>
  </si>
  <si>
    <t>4 -</t>
  </si>
  <si>
    <t>Permitir a presença de empregado sem uniforme, com uniforme sujo, manchado ou mal apresentado, por empregado e por ocorrência;</t>
  </si>
  <si>
    <t>5 -</t>
  </si>
  <si>
    <t>Recusar-se a executar serviço determinado pela fiscalização, por serviço e por dia;</t>
  </si>
  <si>
    <t>6 -</t>
  </si>
  <si>
    <t>Falta de material de limpeza;</t>
  </si>
  <si>
    <t>7 -</t>
  </si>
  <si>
    <t>Não reposição de material de higiene pessoal;</t>
  </si>
  <si>
    <t>8 -</t>
  </si>
  <si>
    <t>Utilização de material impróprio;</t>
  </si>
  <si>
    <t>9 -</t>
  </si>
  <si>
    <t>Deixar de zelar pelas instalações do CBMDF utilizadas, por item e por dia;</t>
  </si>
  <si>
    <t>10 -</t>
  </si>
  <si>
    <t>Deixar de Cumprir determinação formal ou instrução do fiscalizador, por ocorrência;</t>
  </si>
  <si>
    <t>11 -</t>
  </si>
  <si>
    <t>Deixar de Substituir empregado que se conduza de modo inconveniente ou não atenda às necessidades, por funcionário e por dia;</t>
  </si>
  <si>
    <t>12 -</t>
  </si>
  <si>
    <t>Deixar de Registrar e controlar, diariamente, a assiduidade e a pontualidade de seu pessoal;</t>
  </si>
  <si>
    <t>13 -</t>
  </si>
  <si>
    <t>Deixar de Fornecer EPIs (Equipamentos de Proteção Individual), quando exigido em lei ou convenção, aos seus empregados e de impor penalidades àqueles que se negarem a usá-los, por empregado e por ocorrência;</t>
  </si>
  <si>
    <t>14 -</t>
  </si>
  <si>
    <t>Deixar de Fornecer ou atrasar a renovação dos uniformes, conforme previsto no Termo de Referência;</t>
  </si>
  <si>
    <t>15 -</t>
  </si>
  <si>
    <t>Deixar de Efetuar o pagamento de salários, seguros, encargos fiscais e sociais, bem como arcar com quaisquer despesas diretas e/ou indiretas relacionadas à execução do contrato, por dia e por ocorrência;</t>
  </si>
  <si>
    <t>16 -</t>
  </si>
  <si>
    <t xml:space="preserve"> Deixar de Indicar e manter durante a execução do contrato os prepostos, nas quantidades previstas no Termo de Referência;</t>
  </si>
  <si>
    <t>17 -</t>
  </si>
  <si>
    <t>Deixar de Cumprir quaisquer dos itens do Termo de Referência e de seus Anexos não previstos nesta tabela de multas, por item e por ocorrência;</t>
  </si>
  <si>
    <t>18 -</t>
  </si>
  <si>
    <t>Deixar de Cumprir quaisquer dos itens do Termo de Referência e seus Anexos não previstos nesta tabela de multas, após reincidência formalmente notificada pelo órgão fiscalizador, por item e por ocorrência.</t>
  </si>
  <si>
    <t>Imperfeição</t>
  </si>
  <si>
    <t>Total de Ocorrências</t>
  </si>
  <si>
    <t>Instruções:</t>
  </si>
  <si>
    <t>Preencher cada um dos 18 (dezoito) itens de avaliação de imperfeições, totalizando as ocorrências no mês de referência e indicando sinteticamente o dia e o fato gerador na tabela existente em cada item.</t>
  </si>
  <si>
    <t>Repassar o total de ocorrências por item avaliado na tabela consolidadora do Total de Ocorrências deste Relatório.</t>
  </si>
  <si>
    <t>POMED/PODON (ADMINISTRATIVO)</t>
  </si>
  <si>
    <r>
      <t xml:space="preserve">**O horário de funcionamento do Órgão é de 06:30 às 22:00 horas. A área a ser conservada na PODON é de 799,88m², o que resultaria na quantidade de 2 (dois) serventes, no entanto, em função do horário de funcionamento do Órgão, a quantidade foi dobrada, de forma que os 4 serventes empregados no serviço deverão cumprir jornada de 44 horas semanais (8h/dia ou </t>
    </r>
    <r>
      <rPr>
        <b/>
        <sz val="11"/>
        <color rgb="FFFF0000"/>
        <rFont val="Calibri"/>
        <family val="2"/>
        <scheme val="minor"/>
      </rPr>
      <t>8h48/dia com compensação de horas para cumprimento da carga horária semanal</t>
    </r>
    <r>
      <rPr>
        <b/>
        <sz val="11"/>
        <color theme="1"/>
        <rFont val="Calibri"/>
        <family val="2"/>
        <scheme val="minor"/>
      </rPr>
      <t xml:space="preserve">) em dois turnos, com 2 (dois) serventes em cada turno. Em nenhuma hipótese os encarregados e serventes poderão estender seus horários de trabalho além das 22:00 horas. </t>
    </r>
    <r>
      <rPr>
        <b/>
        <sz val="11"/>
        <color rgb="FFFF0000"/>
        <rFont val="Calibri"/>
        <family val="2"/>
        <scheme val="minor"/>
      </rPr>
      <t>SUGESTÃO DE TURNOS: Turno Manhã: 06h30 ás 14h30 (Podendo extender até as 15h18 se houver a compensação de horas de 48 minutos diária); Turno Tarde: 14h às 22h (Podendo a entranda se antecipada para as 13h12 se houver a compensação de horas de 48 minutos diária).</t>
    </r>
    <r>
      <rPr>
        <b/>
        <sz val="11"/>
        <color theme="1"/>
        <rFont val="Calibri"/>
        <family val="2"/>
        <scheme val="minor"/>
      </rPr>
      <t xml:space="preserve"> </t>
    </r>
  </si>
  <si>
    <t>**Em algumas áreas do 22ºGBM, 18º GBM e 34º GBM foram utilizadas as metragens do contrato em vigor, pois foi identificado que houve sobreposição de áreas.</t>
  </si>
  <si>
    <t>CEABM / CAPELANIA CATÓLICA**</t>
  </si>
  <si>
    <t>**Em algumas áreas do CEABM/CAPEC foram utilizadas as metragens do contrato em vigor, pois foi identificado que houve sobreposição de áreas.</t>
  </si>
  <si>
    <t>**Em algumas áreas do 22ºGBM, 18º GBM e 34º GBM foram utilizadas as metragens do contrato anterior, pois foi identificado que houve sobreposição de áreas.</t>
  </si>
  <si>
    <t>POSTO AVANÇADO GBS - DELTA 1</t>
  </si>
  <si>
    <t>22º GBM - SOBRADINHO**</t>
  </si>
  <si>
    <t>18º GBM - SANTA MARIA**</t>
  </si>
  <si>
    <t>34º GBM - LAGO NORTE**</t>
  </si>
  <si>
    <t>**Em algumas áreas do CEABM/CAPEC foram utilizadas as metragens do contrato anterior, pois foi identificado que houve sobreposição de áreas.</t>
  </si>
  <si>
    <t xml:space="preserve">**O horário de funcionamento do Órgão é de 06:30 às 22:00 horas. A área a ser conservada na PODON é de 799,88m², o que resultaria na quantidade de 2 (dois) serventes, no entanto, em função do horário de funcionamento do Órgão, a quantidade foi dobrada, de forma que os 4 serventes empregados no serviço deverão cumprir jornada de 44 horas semanais (8h/dia ou 8h48/dia com compensação de horas para cumprimento da carga horária semanal) em dois turnos, com 2 (dois) serventes em cada turno. Em nenhuma hipótese os encarregados e serventes poderão estender seus horários de trabalho além das 22:00 horas. SUGESTÃO DE TURNOS: Turno Manhã: 06h30 ás 14h30 (Podendo extender até as 15h18, se a contratada optar pela compensação de horas de 48 minutos diária); Turno Tarde: 14h às 22h (Podendo a entranda ser antecipada para às 13h12, se a contratada optar pela compensação de horas de 48 minutos diária).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</si>
</sst>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_);_(@_)"/>
    <numFmt numFmtId="165" formatCode="&quot;R$&quot;\ #,##0.00"/>
  </numFmts>
  <fonts count="46" x14ac:knownFonts="1">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1"/>
      <color theme="1"/>
      <name val="Arial"/>
      <family val="2"/>
    </font>
    <font>
      <b/>
      <sz val="11"/>
      <color theme="1"/>
      <name val="Arial"/>
      <family val="2"/>
    </font>
    <font>
      <sz val="18"/>
      <color theme="0"/>
      <name val="Arial"/>
      <family val="2"/>
    </font>
    <font>
      <sz val="12"/>
      <color theme="1"/>
      <name val="Arial"/>
      <family val="2"/>
    </font>
    <font>
      <sz val="12"/>
      <color rgb="FFFF0000"/>
      <name val="Arial"/>
      <family val="2"/>
    </font>
    <font>
      <b/>
      <sz val="12"/>
      <color theme="1"/>
      <name val="Arial"/>
      <family val="2"/>
    </font>
    <font>
      <b/>
      <sz val="11"/>
      <color rgb="FF000000"/>
      <name val="Arial"/>
      <family val="2"/>
    </font>
    <font>
      <b/>
      <sz val="11"/>
      <color rgb="FF000000"/>
      <name val="Calibri"/>
      <family val="2"/>
    </font>
    <font>
      <sz val="11"/>
      <color rgb="FF000000"/>
      <name val="Calibri"/>
      <family val="2"/>
    </font>
    <font>
      <i/>
      <sz val="11"/>
      <color theme="1"/>
      <name val="Arial"/>
      <family val="2"/>
    </font>
    <font>
      <b/>
      <sz val="14"/>
      <color theme="1"/>
      <name val="Arial"/>
      <family val="2"/>
    </font>
    <font>
      <b/>
      <u/>
      <sz val="14"/>
      <color theme="1"/>
      <name val="Arial"/>
      <family val="2"/>
    </font>
    <font>
      <b/>
      <u/>
      <sz val="12"/>
      <color theme="1"/>
      <name val="Arial"/>
      <family val="2"/>
    </font>
    <font>
      <i/>
      <sz val="12"/>
      <color theme="1"/>
      <name val="Arial"/>
      <family val="2"/>
    </font>
    <font>
      <u/>
      <sz val="12"/>
      <color theme="1"/>
      <name val="Arial"/>
      <family val="2"/>
    </font>
    <font>
      <b/>
      <sz val="11"/>
      <color theme="0"/>
      <name val="Calibri"/>
      <family val="2"/>
    </font>
    <font>
      <b/>
      <sz val="11"/>
      <color rgb="FFFF0000"/>
      <name val="Calibri"/>
      <family val="2"/>
      <scheme val="minor"/>
    </font>
    <font>
      <b/>
      <sz val="11"/>
      <name val="Calibri"/>
      <family val="2"/>
      <scheme val="minor"/>
    </font>
    <font>
      <sz val="12"/>
      <name val="Arial"/>
      <family val="2"/>
    </font>
    <font>
      <sz val="11"/>
      <name val="Arial"/>
      <family val="2"/>
    </font>
    <font>
      <b/>
      <sz val="11"/>
      <color theme="0"/>
      <name val="Arial"/>
      <family val="2"/>
    </font>
    <font>
      <b/>
      <u/>
      <sz val="11"/>
      <color theme="1"/>
      <name val="Arial"/>
      <family val="2"/>
    </font>
    <font>
      <sz val="11"/>
      <name val="Calibri"/>
      <family val="2"/>
    </font>
    <font>
      <sz val="11"/>
      <color rgb="FFFF0000"/>
      <name val="Calibri"/>
      <family val="2"/>
    </font>
    <font>
      <sz val="11"/>
      <color theme="1"/>
      <name val="Calibri"/>
      <family val="2"/>
    </font>
    <font>
      <b/>
      <sz val="11"/>
      <name val="Calibri"/>
      <family val="2"/>
    </font>
  </fonts>
  <fills count="60">
    <fill>
      <patternFill patternType="none"/>
    </fill>
    <fill>
      <patternFill patternType="gray125"/>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theme="1" tint="4.9989318521683403E-2"/>
        <bgColor indexed="64"/>
      </patternFill>
    </fill>
    <fill>
      <patternFill patternType="solid">
        <fgColor rgb="FFF7EE3B"/>
        <bgColor indexed="64"/>
      </patternFill>
    </fill>
    <fill>
      <patternFill patternType="solid">
        <fgColor theme="2" tint="-0.8999908444471571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0070C0"/>
        <bgColor indexed="64"/>
      </patternFill>
    </fill>
    <fill>
      <patternFill patternType="solid">
        <fgColor theme="9" tint="-0.499984740745262"/>
        <bgColor indexed="64"/>
      </patternFill>
    </fill>
    <fill>
      <patternFill patternType="solid">
        <fgColor theme="7" tint="-0.49998474074526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rgb="FF000000"/>
      </left>
      <right/>
      <top/>
      <bottom/>
      <diagonal/>
    </border>
    <border diagonalUp="1" diagonalDown="1">
      <left style="thin">
        <color indexed="64"/>
      </left>
      <right style="thin">
        <color indexed="64"/>
      </right>
      <top style="thin">
        <color indexed="64"/>
      </top>
      <bottom style="thin">
        <color indexed="64"/>
      </bottom>
      <diagonal style="thin">
        <color auto="1"/>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bottom style="thin">
        <color rgb="FF000000"/>
      </bottom>
      <diagonal/>
    </border>
  </borders>
  <cellStyleXfs count="52">
    <xf numFmtId="0" fontId="0" fillId="0" borderId="0"/>
    <xf numFmtId="43" fontId="1" fillId="0" borderId="0" applyFont="0" applyFill="0" applyBorder="0" applyAlignment="0" applyProtection="0"/>
    <xf numFmtId="164" fontId="2"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20" applyNumberFormat="0" applyFill="0" applyAlignment="0" applyProtection="0"/>
    <xf numFmtId="0" fontId="5" fillId="0" borderId="21" applyNumberFormat="0" applyFill="0" applyAlignment="0" applyProtection="0"/>
    <xf numFmtId="0" fontId="6" fillId="0" borderId="22"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23" applyNumberFormat="0" applyAlignment="0" applyProtection="0"/>
    <xf numFmtId="0" fontId="11" fillId="7" borderId="24" applyNumberFormat="0" applyAlignment="0" applyProtection="0"/>
    <xf numFmtId="0" fontId="12" fillId="7" borderId="23" applyNumberFormat="0" applyAlignment="0" applyProtection="0"/>
    <xf numFmtId="0" fontId="13" fillId="0" borderId="25" applyNumberFormat="0" applyFill="0" applyAlignment="0" applyProtection="0"/>
    <xf numFmtId="0" fontId="14" fillId="8" borderId="26" applyNumberFormat="0" applyAlignment="0" applyProtection="0"/>
    <xf numFmtId="0" fontId="15" fillId="0" borderId="0" applyNumberFormat="0" applyFill="0" applyBorder="0" applyAlignment="0" applyProtection="0"/>
    <xf numFmtId="0" fontId="1" fillId="9" borderId="27" applyNumberFormat="0" applyFont="0" applyAlignment="0" applyProtection="0"/>
    <xf numFmtId="0" fontId="16" fillId="0" borderId="0" applyNumberFormat="0" applyFill="0" applyBorder="0" applyAlignment="0" applyProtection="0"/>
    <xf numFmtId="0" fontId="17" fillId="0" borderId="28"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82">
    <xf numFmtId="0" fontId="0" fillId="0" borderId="0" xfId="0"/>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0" fillId="0" borderId="0" xfId="0" applyFont="1" applyAlignment="1">
      <alignment horizontal="justify" vertical="center" wrapText="1"/>
    </xf>
    <xf numFmtId="165" fontId="20" fillId="0" borderId="0" xfId="0" applyNumberFormat="1" applyFont="1" applyAlignment="1">
      <alignment horizontal="center" vertical="center"/>
    </xf>
    <xf numFmtId="165" fontId="21" fillId="40" borderId="1" xfId="0" applyNumberFormat="1" applyFont="1" applyFill="1" applyBorder="1" applyAlignment="1">
      <alignment horizontal="center" vertical="center"/>
    </xf>
    <xf numFmtId="3" fontId="20" fillId="0" borderId="0" xfId="0" applyNumberFormat="1" applyFont="1" applyAlignment="1">
      <alignment horizontal="center" vertical="center"/>
    </xf>
    <xf numFmtId="0" fontId="21" fillId="42" borderId="1" xfId="0" applyFont="1" applyFill="1" applyBorder="1" applyAlignment="1">
      <alignment horizontal="center" vertical="center"/>
    </xf>
    <xf numFmtId="0" fontId="20" fillId="0" borderId="1" xfId="0" applyFont="1" applyBorder="1" applyAlignment="1">
      <alignment horizontal="center" vertical="center"/>
    </xf>
    <xf numFmtId="165" fontId="21" fillId="42" borderId="1" xfId="0" applyNumberFormat="1" applyFont="1" applyFill="1" applyBorder="1" applyAlignment="1">
      <alignment horizontal="center" vertical="center"/>
    </xf>
    <xf numFmtId="0" fontId="20" fillId="0" borderId="0" xfId="0" applyFont="1" applyAlignment="1">
      <alignment horizontal="center" vertical="center" wrapText="1"/>
    </xf>
    <xf numFmtId="0" fontId="21" fillId="40"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40" borderId="1" xfId="0" applyFont="1" applyFill="1" applyBorder="1" applyAlignment="1">
      <alignment horizontal="center" vertical="center" wrapText="1"/>
    </xf>
    <xf numFmtId="0" fontId="23" fillId="0" borderId="0" xfId="0" applyFont="1"/>
    <xf numFmtId="0" fontId="25" fillId="37" borderId="16" xfId="0" applyFont="1" applyFill="1" applyBorder="1" applyAlignment="1">
      <alignment horizontal="center" vertical="center" wrapText="1"/>
    </xf>
    <xf numFmtId="0" fontId="25" fillId="37" borderId="14"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29" xfId="0" applyFont="1" applyBorder="1" applyAlignment="1">
      <alignment vertical="center" wrapText="1"/>
    </xf>
    <xf numFmtId="165" fontId="23" fillId="0" borderId="29" xfId="0" applyNumberFormat="1" applyFont="1" applyBorder="1" applyAlignment="1">
      <alignment horizontal="center" vertical="center" wrapText="1"/>
    </xf>
    <xf numFmtId="165" fontId="25" fillId="37" borderId="29" xfId="0" applyNumberFormat="1" applyFont="1" applyFill="1" applyBorder="1" applyAlignment="1">
      <alignment horizontal="center" vertical="center" wrapText="1"/>
    </xf>
    <xf numFmtId="0" fontId="25" fillId="0" borderId="0" xfId="0" applyFont="1" applyAlignment="1">
      <alignment vertical="center"/>
    </xf>
    <xf numFmtId="10" fontId="23" fillId="0" borderId="29" xfId="0" applyNumberFormat="1" applyFont="1" applyBorder="1" applyAlignment="1">
      <alignment horizontal="center" vertical="center" wrapText="1"/>
    </xf>
    <xf numFmtId="10" fontId="25" fillId="37" borderId="29" xfId="0" applyNumberFormat="1" applyFont="1" applyFill="1" applyBorder="1" applyAlignment="1">
      <alignment horizontal="center" vertical="center" wrapText="1"/>
    </xf>
    <xf numFmtId="0" fontId="23" fillId="0" borderId="0" xfId="0" applyFont="1" applyAlignment="1">
      <alignment vertical="center"/>
    </xf>
    <xf numFmtId="0" fontId="25" fillId="41" borderId="16" xfId="0" applyFont="1" applyFill="1" applyBorder="1" applyAlignment="1">
      <alignment horizontal="center" vertical="center" wrapText="1"/>
    </xf>
    <xf numFmtId="0" fontId="25" fillId="41" borderId="14" xfId="0" applyFont="1" applyFill="1" applyBorder="1" applyAlignment="1">
      <alignment horizontal="center" vertical="center" wrapText="1"/>
    </xf>
    <xf numFmtId="0" fontId="23" fillId="0" borderId="29" xfId="0" applyFont="1" applyBorder="1" applyAlignment="1">
      <alignment horizontal="justify" vertical="center" wrapText="1"/>
    </xf>
    <xf numFmtId="165" fontId="25" fillId="41" borderId="29" xfId="0" applyNumberFormat="1" applyFont="1" applyFill="1" applyBorder="1" applyAlignment="1">
      <alignment horizontal="center" vertical="center" wrapText="1"/>
    </xf>
    <xf numFmtId="0" fontId="25" fillId="37" borderId="14" xfId="0" applyFont="1" applyFill="1" applyBorder="1" applyAlignment="1">
      <alignment vertical="center" wrapText="1"/>
    </xf>
    <xf numFmtId="0" fontId="25" fillId="0" borderId="17" xfId="0" applyFont="1" applyBorder="1" applyAlignment="1">
      <alignment horizontal="center" vertical="center" wrapText="1"/>
    </xf>
    <xf numFmtId="165" fontId="23" fillId="0" borderId="29" xfId="0" applyNumberFormat="1" applyFont="1" applyBorder="1" applyAlignment="1">
      <alignment vertical="center" wrapText="1"/>
    </xf>
    <xf numFmtId="165" fontId="25" fillId="37" borderId="29" xfId="0" applyNumberFormat="1" applyFont="1" applyFill="1" applyBorder="1" applyAlignment="1">
      <alignment vertical="center" wrapText="1"/>
    </xf>
    <xf numFmtId="0" fontId="23" fillId="0" borderId="19" xfId="0" applyFont="1" applyBorder="1"/>
    <xf numFmtId="0" fontId="23" fillId="0" borderId="30" xfId="0" applyFont="1" applyBorder="1"/>
    <xf numFmtId="0" fontId="23" fillId="0" borderId="1" xfId="0" applyFont="1" applyBorder="1"/>
    <xf numFmtId="0" fontId="23" fillId="0" borderId="1" xfId="0" applyFont="1" applyBorder="1" applyAlignment="1">
      <alignment horizontal="center" vertical="center"/>
    </xf>
    <xf numFmtId="0" fontId="25" fillId="36" borderId="0" xfId="0" applyFont="1" applyFill="1" applyAlignment="1">
      <alignment horizontal="center" vertical="center"/>
    </xf>
    <xf numFmtId="0" fontId="23" fillId="0" borderId="1" xfId="0" applyFont="1" applyBorder="1" applyAlignment="1">
      <alignment vertical="center"/>
    </xf>
    <xf numFmtId="0" fontId="25" fillId="0" borderId="0" xfId="0" applyFont="1" applyAlignment="1">
      <alignment horizontal="center"/>
    </xf>
    <xf numFmtId="0" fontId="25"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0" fontId="23" fillId="0" borderId="0" xfId="0" applyFont="1" applyAlignment="1">
      <alignment horizontal="center" vertical="center"/>
    </xf>
    <xf numFmtId="0" fontId="25" fillId="38" borderId="16" xfId="0" applyFont="1" applyFill="1" applyBorder="1" applyAlignment="1">
      <alignment horizontal="center" vertical="center" wrapText="1"/>
    </xf>
    <xf numFmtId="0" fontId="25" fillId="38" borderId="14" xfId="0" applyFont="1" applyFill="1" applyBorder="1" applyAlignment="1">
      <alignment vertical="center" wrapText="1"/>
    </xf>
    <xf numFmtId="0" fontId="25" fillId="38" borderId="14" xfId="0" applyFont="1" applyFill="1" applyBorder="1" applyAlignment="1">
      <alignment horizontal="center" vertical="center" wrapText="1"/>
    </xf>
    <xf numFmtId="0" fontId="20" fillId="0" borderId="0" xfId="0" applyFont="1" applyAlignment="1">
      <alignment vertical="center"/>
    </xf>
    <xf numFmtId="0" fontId="20" fillId="0" borderId="1" xfId="0" applyFont="1" applyBorder="1" applyAlignment="1">
      <alignment vertical="center"/>
    </xf>
    <xf numFmtId="0" fontId="20" fillId="0" borderId="1" xfId="0" applyFont="1" applyBorder="1" applyAlignment="1">
      <alignment horizontal="justify" vertical="center" wrapText="1"/>
    </xf>
    <xf numFmtId="165" fontId="20" fillId="0" borderId="1" xfId="0" applyNumberFormat="1" applyFont="1" applyBorder="1" applyAlignment="1">
      <alignment vertical="center"/>
    </xf>
    <xf numFmtId="165" fontId="21" fillId="40" borderId="1" xfId="0" applyNumberFormat="1" applyFont="1" applyFill="1" applyBorder="1" applyAlignment="1">
      <alignment vertical="center"/>
    </xf>
    <xf numFmtId="165" fontId="23" fillId="38" borderId="29" xfId="0"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0" fontId="21" fillId="47" borderId="31" xfId="0" applyFont="1" applyFill="1" applyBorder="1" applyAlignment="1">
      <alignment horizontal="center" vertical="center"/>
    </xf>
    <xf numFmtId="0" fontId="21" fillId="47" borderId="19" xfId="0" applyFont="1" applyFill="1" applyBorder="1" applyAlignment="1">
      <alignment horizontal="center" vertical="center"/>
    </xf>
    <xf numFmtId="3" fontId="26" fillId="47" borderId="19" xfId="0" applyNumberFormat="1" applyFont="1" applyFill="1" applyBorder="1" applyAlignment="1">
      <alignment horizontal="center" vertical="center" wrapText="1"/>
    </xf>
    <xf numFmtId="3" fontId="26" fillId="34" borderId="19" xfId="0" applyNumberFormat="1" applyFont="1" applyFill="1" applyBorder="1" applyAlignment="1">
      <alignment horizontal="center" vertical="center" wrapText="1"/>
    </xf>
    <xf numFmtId="0" fontId="21" fillId="34" borderId="31" xfId="0" applyFont="1" applyFill="1" applyBorder="1" applyAlignment="1">
      <alignment horizontal="center" vertical="center"/>
    </xf>
    <xf numFmtId="0" fontId="26" fillId="48" borderId="30" xfId="0" applyFont="1" applyFill="1" applyBorder="1" applyAlignment="1">
      <alignment horizontal="center" vertical="center" wrapText="1"/>
    </xf>
    <xf numFmtId="0" fontId="21" fillId="48" borderId="31" xfId="0" applyFont="1" applyFill="1" applyBorder="1" applyAlignment="1">
      <alignment horizontal="center" vertical="center"/>
    </xf>
    <xf numFmtId="0" fontId="26" fillId="38" borderId="30" xfId="0" applyFont="1" applyFill="1" applyBorder="1" applyAlignment="1">
      <alignment horizontal="center" vertical="center" wrapText="1"/>
    </xf>
    <xf numFmtId="0" fontId="21" fillId="38" borderId="31" xfId="0" applyFont="1" applyFill="1" applyBorder="1" applyAlignment="1">
      <alignment horizontal="center" vertical="center"/>
    </xf>
    <xf numFmtId="0" fontId="27" fillId="43" borderId="6" xfId="0" applyFont="1" applyFill="1" applyBorder="1" applyAlignment="1">
      <alignment horizontal="center" vertical="center" wrapText="1"/>
    </xf>
    <xf numFmtId="0" fontId="27" fillId="42" borderId="3" xfId="0" applyFont="1" applyFill="1" applyBorder="1" applyAlignment="1">
      <alignment horizontal="center" vertical="center" wrapText="1"/>
    </xf>
    <xf numFmtId="0" fontId="27" fillId="46" borderId="7" xfId="0" applyFont="1" applyFill="1" applyBorder="1" applyAlignment="1">
      <alignment horizontal="center" vertical="center" wrapText="1"/>
    </xf>
    <xf numFmtId="0" fontId="27" fillId="35" borderId="7" xfId="0" applyFont="1" applyFill="1" applyBorder="1" applyAlignment="1">
      <alignment horizontal="center" vertical="center" wrapText="1"/>
    </xf>
    <xf numFmtId="0" fontId="27" fillId="43" borderId="7" xfId="0" applyFont="1" applyFill="1" applyBorder="1" applyAlignment="1">
      <alignment horizontal="center" vertical="center" wrapText="1"/>
    </xf>
    <xf numFmtId="0" fontId="27" fillId="42" borderId="5" xfId="0" applyFont="1" applyFill="1" applyBorder="1" applyAlignment="1">
      <alignment horizontal="center" vertical="center" wrapText="1"/>
    </xf>
    <xf numFmtId="0" fontId="27" fillId="49" borderId="41" xfId="0" applyFont="1" applyFill="1" applyBorder="1" applyAlignment="1">
      <alignment horizontal="center" vertical="center" wrapText="1"/>
    </xf>
    <xf numFmtId="4" fontId="28" fillId="49" borderId="41" xfId="1" applyNumberFormat="1" applyFont="1" applyFill="1" applyBorder="1" applyAlignment="1">
      <alignment horizontal="center" vertical="center" wrapText="1"/>
    </xf>
    <xf numFmtId="0" fontId="27" fillId="49" borderId="42" xfId="0" applyFont="1" applyFill="1" applyBorder="1" applyAlignment="1">
      <alignment horizontal="center" vertical="center" wrapText="1"/>
    </xf>
    <xf numFmtId="4" fontId="28" fillId="49" borderId="42" xfId="1" applyNumberFormat="1" applyFont="1" applyFill="1" applyBorder="1" applyAlignment="1">
      <alignment horizontal="center" vertical="center" wrapText="1"/>
    </xf>
    <xf numFmtId="3" fontId="27" fillId="49" borderId="41" xfId="1" applyNumberFormat="1" applyFont="1" applyFill="1" applyBorder="1" applyAlignment="1">
      <alignment horizontal="center" vertical="center" wrapText="1"/>
    </xf>
    <xf numFmtId="0" fontId="27" fillId="50" borderId="42" xfId="0" applyFont="1" applyFill="1" applyBorder="1" applyAlignment="1">
      <alignment horizontal="center" vertical="center" wrapText="1"/>
    </xf>
    <xf numFmtId="4" fontId="28" fillId="50" borderId="42" xfId="1" applyNumberFormat="1" applyFont="1" applyFill="1" applyBorder="1" applyAlignment="1">
      <alignment horizontal="center" vertical="center" wrapText="1"/>
    </xf>
    <xf numFmtId="3" fontId="27" fillId="50" borderId="41" xfId="1" applyNumberFormat="1" applyFont="1" applyFill="1" applyBorder="1" applyAlignment="1">
      <alignment horizontal="center" vertical="center" wrapText="1"/>
    </xf>
    <xf numFmtId="0" fontId="27" fillId="51" borderId="42" xfId="0" applyFont="1" applyFill="1" applyBorder="1" applyAlignment="1">
      <alignment horizontal="center" vertical="center" wrapText="1"/>
    </xf>
    <xf numFmtId="4" fontId="28" fillId="51" borderId="42" xfId="1" applyNumberFormat="1" applyFont="1" applyFill="1" applyBorder="1" applyAlignment="1">
      <alignment horizontal="center" vertical="center" wrapText="1"/>
    </xf>
    <xf numFmtId="0" fontId="27" fillId="51" borderId="46" xfId="0" applyFont="1" applyFill="1" applyBorder="1" applyAlignment="1">
      <alignment horizontal="center" vertical="center" wrapText="1"/>
    </xf>
    <xf numFmtId="0" fontId="27" fillId="50" borderId="46" xfId="0" applyFont="1" applyFill="1" applyBorder="1" applyAlignment="1">
      <alignment horizontal="center" vertical="center" wrapText="1"/>
    </xf>
    <xf numFmtId="0" fontId="27" fillId="49" borderId="46" xfId="0" applyFont="1" applyFill="1" applyBorder="1" applyAlignment="1">
      <alignment horizontal="center" vertical="center" wrapText="1"/>
    </xf>
    <xf numFmtId="0" fontId="27" fillId="0" borderId="46" xfId="0" applyFont="1" applyBorder="1" applyAlignment="1">
      <alignment horizontal="center" vertical="center" wrapText="1"/>
    </xf>
    <xf numFmtId="4" fontId="28" fillId="0" borderId="42" xfId="1" applyNumberFormat="1" applyFont="1" applyFill="1" applyBorder="1" applyAlignment="1">
      <alignment horizontal="center" vertical="center" wrapText="1"/>
    </xf>
    <xf numFmtId="0" fontId="27" fillId="49" borderId="45" xfId="0" applyFont="1" applyFill="1" applyBorder="1" applyAlignment="1">
      <alignment horizontal="center" vertical="center" wrapText="1"/>
    </xf>
    <xf numFmtId="1" fontId="17" fillId="42" borderId="1" xfId="0" applyNumberFormat="1" applyFont="1" applyFill="1" applyBorder="1" applyAlignment="1">
      <alignment horizontal="center" vertical="center"/>
    </xf>
    <xf numFmtId="0" fontId="27" fillId="42" borderId="6" xfId="0" applyFont="1" applyFill="1" applyBorder="1" applyAlignment="1">
      <alignment horizontal="center" vertical="center" wrapText="1"/>
    </xf>
    <xf numFmtId="2" fontId="28" fillId="51" borderId="42" xfId="0" applyNumberFormat="1" applyFont="1" applyFill="1" applyBorder="1" applyAlignment="1">
      <alignment horizontal="center" vertical="center" wrapText="1"/>
    </xf>
    <xf numFmtId="4" fontId="28" fillId="49" borderId="42" xfId="0" applyNumberFormat="1" applyFont="1" applyFill="1" applyBorder="1" applyAlignment="1">
      <alignment horizontal="center" vertical="center" wrapText="1"/>
    </xf>
    <xf numFmtId="4" fontId="28" fillId="51" borderId="42" xfId="0" applyNumberFormat="1" applyFont="1" applyFill="1" applyBorder="1" applyAlignment="1">
      <alignment horizontal="center" vertical="center" wrapText="1"/>
    </xf>
    <xf numFmtId="4" fontId="28" fillId="36" borderId="42" xfId="0" applyNumberFormat="1" applyFont="1" applyFill="1" applyBorder="1" applyAlignment="1">
      <alignment horizontal="center" vertical="center" wrapText="1"/>
    </xf>
    <xf numFmtId="3" fontId="27" fillId="36" borderId="41" xfId="1" applyNumberFormat="1" applyFont="1" applyFill="1" applyBorder="1" applyAlignment="1">
      <alignment horizontal="center" vertical="center" wrapText="1"/>
    </xf>
    <xf numFmtId="0" fontId="27" fillId="46" borderId="6" xfId="0" applyFont="1" applyFill="1" applyBorder="1" applyAlignment="1">
      <alignment horizontal="center" vertical="center" wrapText="1"/>
    </xf>
    <xf numFmtId="0" fontId="27" fillId="42" borderId="18" xfId="0" applyFont="1" applyFill="1" applyBorder="1" applyAlignment="1">
      <alignment horizontal="center" vertical="center" wrapText="1"/>
    </xf>
    <xf numFmtId="0" fontId="27" fillId="50" borderId="1" xfId="0" applyFont="1" applyFill="1" applyBorder="1" applyAlignment="1">
      <alignment horizontal="center" vertical="center" wrapText="1"/>
    </xf>
    <xf numFmtId="1" fontId="20"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0" fontId="20" fillId="50" borderId="1" xfId="0" applyFont="1" applyFill="1" applyBorder="1" applyAlignment="1">
      <alignment horizontal="center" vertical="center"/>
    </xf>
    <xf numFmtId="0" fontId="20" fillId="50" borderId="1" xfId="0" applyFont="1" applyFill="1" applyBorder="1" applyAlignment="1">
      <alignment horizontal="center" vertical="center" wrapText="1"/>
    </xf>
    <xf numFmtId="1" fontId="20" fillId="50" borderId="1" xfId="0" applyNumberFormat="1" applyFont="1" applyFill="1" applyBorder="1" applyAlignment="1">
      <alignment horizontal="center" vertical="center"/>
    </xf>
    <xf numFmtId="1" fontId="21" fillId="50" borderId="1" xfId="0" applyNumberFormat="1" applyFont="1" applyFill="1" applyBorder="1" applyAlignment="1">
      <alignment horizontal="center" vertical="center"/>
    </xf>
    <xf numFmtId="1" fontId="21" fillId="40" borderId="1" xfId="0" applyNumberFormat="1" applyFont="1" applyFill="1" applyBorder="1" applyAlignment="1">
      <alignment horizontal="center" vertical="center"/>
    </xf>
    <xf numFmtId="0" fontId="21" fillId="0" borderId="1" xfId="0" applyFont="1" applyBorder="1" applyAlignment="1">
      <alignment horizontal="center" vertical="center"/>
    </xf>
    <xf numFmtId="1" fontId="23" fillId="0" borderId="1" xfId="0" applyNumberFormat="1" applyFont="1" applyBorder="1" applyAlignment="1">
      <alignment horizontal="center" vertical="center"/>
    </xf>
    <xf numFmtId="165" fontId="23" fillId="0" borderId="0" xfId="0" applyNumberFormat="1" applyFont="1"/>
    <xf numFmtId="0" fontId="21" fillId="45" borderId="1" xfId="0" applyFont="1" applyFill="1" applyBorder="1" applyAlignment="1">
      <alignment horizontal="center" vertical="center"/>
    </xf>
    <xf numFmtId="0" fontId="21" fillId="45" borderId="1" xfId="0" applyFont="1" applyFill="1" applyBorder="1" applyAlignment="1">
      <alignment horizontal="center" vertical="center" wrapText="1"/>
    </xf>
    <xf numFmtId="165" fontId="21" fillId="0" borderId="1" xfId="0" applyNumberFormat="1" applyFont="1" applyBorder="1" applyAlignment="1">
      <alignment vertical="center"/>
    </xf>
    <xf numFmtId="0" fontId="20" fillId="52" borderId="1" xfId="0" applyFont="1" applyFill="1" applyBorder="1" applyAlignment="1">
      <alignment vertical="center"/>
    </xf>
    <xf numFmtId="20" fontId="20" fillId="0" borderId="1" xfId="0" applyNumberFormat="1" applyFont="1" applyBorder="1" applyAlignment="1">
      <alignment horizontal="center" vertical="center"/>
    </xf>
    <xf numFmtId="0" fontId="20" fillId="0" borderId="57" xfId="0" applyFont="1" applyBorder="1" applyAlignment="1">
      <alignment vertical="center"/>
    </xf>
    <xf numFmtId="2" fontId="20" fillId="0" borderId="1" xfId="0" applyNumberFormat="1" applyFont="1" applyBorder="1" applyAlignment="1">
      <alignment horizontal="center" vertical="center"/>
    </xf>
    <xf numFmtId="0" fontId="21" fillId="0" borderId="31" xfId="0" applyFont="1" applyBorder="1" applyAlignment="1">
      <alignment horizontal="center" vertical="center"/>
    </xf>
    <xf numFmtId="0" fontId="21" fillId="38" borderId="1" xfId="0" applyFont="1" applyFill="1" applyBorder="1" applyAlignment="1">
      <alignment horizontal="center" vertical="center" wrapText="1"/>
    </xf>
    <xf numFmtId="0" fontId="21" fillId="38" borderId="1" xfId="0" applyFont="1" applyFill="1" applyBorder="1" applyAlignment="1">
      <alignment horizontal="center" vertical="center"/>
    </xf>
    <xf numFmtId="2" fontId="21" fillId="38" borderId="1" xfId="0" applyNumberFormat="1" applyFont="1" applyFill="1" applyBorder="1" applyAlignment="1">
      <alignment horizontal="center" vertical="center"/>
    </xf>
    <xf numFmtId="0" fontId="21" fillId="53" borderId="1" xfId="0" applyFont="1" applyFill="1" applyBorder="1" applyAlignment="1">
      <alignment horizontal="center" vertical="center"/>
    </xf>
    <xf numFmtId="0" fontId="21" fillId="53" borderId="1" xfId="0" applyFont="1" applyFill="1" applyBorder="1" applyAlignment="1">
      <alignment horizontal="center" vertical="center" wrapText="1"/>
    </xf>
    <xf numFmtId="2" fontId="21" fillId="53" borderId="1" xfId="0" applyNumberFormat="1" applyFont="1" applyFill="1" applyBorder="1" applyAlignment="1">
      <alignment horizontal="center" vertical="center"/>
    </xf>
    <xf numFmtId="20" fontId="20" fillId="0" borderId="57" xfId="0" applyNumberFormat="1" applyFont="1" applyBorder="1" applyAlignment="1">
      <alignment horizontal="center" vertical="center"/>
    </xf>
    <xf numFmtId="0" fontId="23" fillId="0" borderId="1" xfId="0" applyFont="1" applyBorder="1" applyAlignment="1">
      <alignment horizontal="justify" vertical="center" wrapText="1"/>
    </xf>
    <xf numFmtId="165" fontId="21" fillId="2" borderId="1" xfId="0" applyNumberFormat="1" applyFont="1" applyFill="1" applyBorder="1" applyAlignment="1">
      <alignment vertical="center"/>
    </xf>
    <xf numFmtId="0" fontId="21" fillId="37" borderId="1" xfId="0" applyFont="1" applyFill="1" applyBorder="1" applyAlignment="1">
      <alignment horizontal="center" vertical="center" wrapText="1"/>
    </xf>
    <xf numFmtId="0" fontId="21" fillId="37" borderId="1" xfId="0" applyFont="1" applyFill="1" applyBorder="1" applyAlignment="1">
      <alignment horizontal="center" vertical="center"/>
    </xf>
    <xf numFmtId="165" fontId="21" fillId="44" borderId="1" xfId="0" applyNumberFormat="1" applyFont="1" applyFill="1" applyBorder="1" applyAlignment="1">
      <alignment vertical="center"/>
    </xf>
    <xf numFmtId="165" fontId="25" fillId="44" borderId="29" xfId="0" applyNumberFormat="1" applyFont="1" applyFill="1" applyBorder="1" applyAlignment="1">
      <alignment vertical="center" wrapText="1"/>
    </xf>
    <xf numFmtId="0" fontId="21" fillId="40" borderId="0" xfId="0" applyFont="1" applyFill="1" applyAlignment="1">
      <alignment horizontal="center" vertical="center"/>
    </xf>
    <xf numFmtId="0" fontId="21" fillId="40" borderId="0" xfId="0" applyFont="1" applyFill="1" applyAlignment="1">
      <alignment horizontal="center" vertical="center" wrapText="1"/>
    </xf>
    <xf numFmtId="0" fontId="27" fillId="49" borderId="58" xfId="0" applyFont="1" applyFill="1" applyBorder="1" applyAlignment="1">
      <alignment horizontal="center" vertical="center" wrapText="1"/>
    </xf>
    <xf numFmtId="0" fontId="25" fillId="37" borderId="61" xfId="0" applyFont="1" applyFill="1" applyBorder="1" applyAlignment="1">
      <alignment horizontal="center" vertical="center" wrapText="1"/>
    </xf>
    <xf numFmtId="0" fontId="23" fillId="0" borderId="62"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horizontal="center" vertical="center" wrapText="1"/>
    </xf>
    <xf numFmtId="0" fontId="23" fillId="0" borderId="0" xfId="0" applyFont="1" applyAlignment="1">
      <alignment horizontal="justify" vertical="center" wrapText="1"/>
    </xf>
    <xf numFmtId="10" fontId="23" fillId="0" borderId="16" xfId="0" applyNumberFormat="1" applyFont="1" applyBorder="1" applyAlignment="1">
      <alignment horizontal="center" vertical="center" wrapText="1"/>
    </xf>
    <xf numFmtId="0" fontId="23" fillId="0" borderId="16" xfId="0" applyFont="1" applyBorder="1" applyAlignment="1">
      <alignment horizontal="center" vertical="center"/>
    </xf>
    <xf numFmtId="0" fontId="23" fillId="0" borderId="0" xfId="0" applyFont="1" applyAlignment="1">
      <alignment horizontal="left" vertical="center"/>
    </xf>
    <xf numFmtId="4" fontId="28" fillId="50" borderId="1" xfId="1" applyNumberFormat="1" applyFont="1" applyFill="1" applyBorder="1" applyAlignment="1">
      <alignment horizontal="center" vertical="center" wrapText="1"/>
    </xf>
    <xf numFmtId="2" fontId="20" fillId="50" borderId="1" xfId="0" applyNumberFormat="1" applyFont="1" applyFill="1" applyBorder="1" applyAlignment="1">
      <alignment horizontal="center" vertical="center"/>
    </xf>
    <xf numFmtId="0" fontId="0" fillId="0" borderId="0" xfId="0" applyAlignment="1">
      <alignment vertical="center"/>
    </xf>
    <xf numFmtId="0" fontId="14" fillId="54" borderId="1" xfId="0" applyFont="1" applyFill="1" applyBorder="1" applyAlignment="1">
      <alignment horizontal="center" vertical="center" wrapText="1"/>
    </xf>
    <xf numFmtId="0" fontId="35" fillId="54" borderId="1" xfId="0" applyFont="1" applyFill="1" applyBorder="1" applyAlignment="1">
      <alignment horizontal="center" vertical="center" wrapText="1"/>
    </xf>
    <xf numFmtId="0" fontId="14" fillId="54" borderId="1" xfId="0" applyFont="1" applyFill="1" applyBorder="1" applyAlignment="1">
      <alignment horizontal="center" vertical="center"/>
    </xf>
    <xf numFmtId="0" fontId="17" fillId="0" borderId="1" xfId="0" applyFont="1" applyBorder="1" applyAlignment="1">
      <alignment vertical="center"/>
    </xf>
    <xf numFmtId="165" fontId="25" fillId="38" borderId="29"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4" fontId="28" fillId="0" borderId="1" xfId="1" applyNumberFormat="1" applyFont="1" applyFill="1" applyBorder="1" applyAlignment="1">
      <alignment horizontal="center" vertical="center" wrapText="1"/>
    </xf>
    <xf numFmtId="3" fontId="27" fillId="49" borderId="1" xfId="1" applyNumberFormat="1" applyFont="1" applyFill="1" applyBorder="1" applyAlignment="1">
      <alignment horizontal="center" vertical="center" wrapText="1"/>
    </xf>
    <xf numFmtId="3" fontId="27" fillId="50" borderId="1" xfId="1" applyNumberFormat="1" applyFont="1" applyFill="1" applyBorder="1" applyAlignment="1">
      <alignment horizontal="center" vertical="center" wrapText="1"/>
    </xf>
    <xf numFmtId="0" fontId="27" fillId="50" borderId="45" xfId="0" applyFont="1" applyFill="1" applyBorder="1" applyAlignment="1">
      <alignment horizontal="center" vertical="center" wrapText="1"/>
    </xf>
    <xf numFmtId="165" fontId="20" fillId="0" borderId="1" xfId="0" applyNumberFormat="1" applyFont="1" applyBorder="1" applyAlignment="1">
      <alignment horizontal="center" vertical="center"/>
    </xf>
    <xf numFmtId="0" fontId="21" fillId="42" borderId="1" xfId="0" applyFont="1" applyFill="1" applyBorder="1" applyAlignment="1">
      <alignment horizontal="center" vertical="center" wrapText="1"/>
    </xf>
    <xf numFmtId="165" fontId="26" fillId="47" borderId="31" xfId="0" applyNumberFormat="1" applyFont="1" applyFill="1" applyBorder="1" applyAlignment="1">
      <alignment horizontal="center" vertical="center" wrapText="1"/>
    </xf>
    <xf numFmtId="0" fontId="39" fillId="0" borderId="0" xfId="0" applyFont="1" applyAlignment="1">
      <alignment horizontal="justify" vertical="center" wrapText="1"/>
    </xf>
    <xf numFmtId="2" fontId="26" fillId="47" borderId="19" xfId="0" applyNumberFormat="1" applyFont="1" applyFill="1" applyBorder="1" applyAlignment="1">
      <alignment horizontal="center" vertical="center" wrapText="1"/>
    </xf>
    <xf numFmtId="2" fontId="21" fillId="47" borderId="19" xfId="0" applyNumberFormat="1" applyFont="1" applyFill="1" applyBorder="1" applyAlignment="1">
      <alignment horizontal="center" vertical="center"/>
    </xf>
    <xf numFmtId="2" fontId="40" fillId="58" borderId="19" xfId="0" applyNumberFormat="1" applyFont="1" applyFill="1" applyBorder="1" applyAlignment="1">
      <alignment horizontal="center" vertical="center" wrapText="1"/>
    </xf>
    <xf numFmtId="165" fontId="40" fillId="58" borderId="31" xfId="0" applyNumberFormat="1" applyFont="1" applyFill="1" applyBorder="1" applyAlignment="1">
      <alignment horizontal="center" vertical="center" wrapText="1"/>
    </xf>
    <xf numFmtId="0" fontId="21" fillId="0" borderId="1" xfId="0" applyFont="1" applyBorder="1" applyAlignment="1">
      <alignment vertical="center"/>
    </xf>
    <xf numFmtId="3" fontId="27" fillId="0" borderId="1" xfId="1" applyNumberFormat="1" applyFont="1" applyFill="1" applyBorder="1" applyAlignment="1">
      <alignment horizontal="center" vertical="center" wrapText="1"/>
    </xf>
    <xf numFmtId="4" fontId="42" fillId="50" borderId="1" xfId="1" applyNumberFormat="1" applyFont="1" applyFill="1" applyBorder="1" applyAlignment="1">
      <alignment horizontal="center" vertical="center" wrapText="1"/>
    </xf>
    <xf numFmtId="4" fontId="42" fillId="0" borderId="1" xfId="1" applyNumberFormat="1" applyFont="1" applyFill="1" applyBorder="1" applyAlignment="1">
      <alignment horizontal="center" vertical="center" wrapText="1"/>
    </xf>
    <xf numFmtId="4" fontId="28" fillId="50" borderId="42" xfId="0" applyNumberFormat="1" applyFont="1" applyFill="1" applyBorder="1" applyAlignment="1">
      <alignment horizontal="center" vertical="center" wrapText="1"/>
    </xf>
    <xf numFmtId="4" fontId="28" fillId="0" borderId="42" xfId="0" applyNumberFormat="1" applyFont="1" applyBorder="1" applyAlignment="1">
      <alignment horizontal="center" vertical="center" wrapText="1"/>
    </xf>
    <xf numFmtId="3" fontId="27" fillId="0" borderId="41" xfId="1" applyNumberFormat="1" applyFont="1" applyFill="1" applyBorder="1" applyAlignment="1">
      <alignment horizontal="center" vertical="center" wrapText="1"/>
    </xf>
    <xf numFmtId="3" fontId="27" fillId="50" borderId="0" xfId="1" applyNumberFormat="1" applyFont="1" applyFill="1" applyBorder="1" applyAlignment="1">
      <alignment horizontal="center" vertical="center" wrapText="1"/>
    </xf>
    <xf numFmtId="4" fontId="42" fillId="49" borderId="42" xfId="1" applyNumberFormat="1" applyFont="1" applyFill="1" applyBorder="1" applyAlignment="1">
      <alignment horizontal="center" vertical="center" wrapText="1"/>
    </xf>
    <xf numFmtId="4" fontId="42" fillId="51" borderId="42" xfId="0" applyNumberFormat="1" applyFont="1" applyFill="1" applyBorder="1" applyAlignment="1">
      <alignment horizontal="center" vertical="center" wrapText="1"/>
    </xf>
    <xf numFmtId="4" fontId="42" fillId="51" borderId="42" xfId="1" applyNumberFormat="1" applyFont="1" applyFill="1" applyBorder="1" applyAlignment="1">
      <alignment horizontal="center" vertical="center" wrapText="1"/>
    </xf>
    <xf numFmtId="0" fontId="27" fillId="50" borderId="41" xfId="0" applyFont="1" applyFill="1" applyBorder="1" applyAlignment="1">
      <alignment horizontal="center" vertical="center" wrapText="1"/>
    </xf>
    <xf numFmtId="4" fontId="28" fillId="50" borderId="41" xfId="1" applyNumberFormat="1" applyFont="1" applyFill="1" applyBorder="1" applyAlignment="1">
      <alignment horizontal="center" vertical="center" wrapText="1"/>
    </xf>
    <xf numFmtId="4" fontId="28" fillId="50" borderId="65" xfId="1" applyNumberFormat="1" applyFont="1" applyFill="1" applyBorder="1" applyAlignment="1">
      <alignment horizontal="center" vertical="center" wrapText="1"/>
    </xf>
    <xf numFmtId="0" fontId="27" fillId="50" borderId="43" xfId="0" applyFont="1" applyFill="1" applyBorder="1" applyAlignment="1">
      <alignment horizontal="center" vertical="center" wrapText="1"/>
    </xf>
    <xf numFmtId="3" fontId="27" fillId="50" borderId="53" xfId="1" applyNumberFormat="1" applyFont="1" applyFill="1" applyBorder="1" applyAlignment="1">
      <alignment horizontal="center" vertical="center" wrapText="1"/>
    </xf>
    <xf numFmtId="3" fontId="27" fillId="50" borderId="12" xfId="1" applyNumberFormat="1" applyFont="1" applyFill="1" applyBorder="1" applyAlignment="1">
      <alignment horizontal="center" vertical="center" wrapText="1"/>
    </xf>
    <xf numFmtId="0" fontId="27" fillId="42" borderId="6" xfId="0" applyFont="1" applyFill="1" applyBorder="1" applyAlignment="1">
      <alignment horizontal="center" vertical="center" wrapText="1"/>
    </xf>
    <xf numFmtId="0" fontId="27" fillId="46" borderId="6" xfId="0" applyFont="1" applyFill="1" applyBorder="1" applyAlignment="1">
      <alignment horizontal="center" vertical="center" wrapText="1"/>
    </xf>
    <xf numFmtId="3" fontId="27" fillId="50" borderId="1" xfId="1" applyNumberFormat="1" applyFont="1" applyFill="1" applyBorder="1" applyAlignment="1">
      <alignment horizontal="center" vertical="center" wrapText="1"/>
    </xf>
    <xf numFmtId="3" fontId="27" fillId="49" borderId="1" xfId="1" applyNumberFormat="1" applyFont="1" applyFill="1" applyBorder="1" applyAlignment="1">
      <alignment horizontal="center" vertical="center" wrapText="1"/>
    </xf>
    <xf numFmtId="3" fontId="27" fillId="0" borderId="1" xfId="1" applyNumberFormat="1" applyFont="1" applyFill="1" applyBorder="1" applyAlignment="1">
      <alignment horizontal="center" vertical="center" wrapText="1"/>
    </xf>
    <xf numFmtId="0" fontId="21" fillId="47" borderId="19" xfId="0" applyFont="1" applyFill="1" applyBorder="1" applyAlignment="1">
      <alignment horizontal="center" vertical="center"/>
    </xf>
    <xf numFmtId="0" fontId="21" fillId="47" borderId="31" xfId="0" applyFont="1" applyFill="1" applyBorder="1" applyAlignment="1">
      <alignment horizontal="center" vertical="center"/>
    </xf>
    <xf numFmtId="3" fontId="26" fillId="47" borderId="19" xfId="0" applyNumberFormat="1" applyFont="1" applyFill="1" applyBorder="1" applyAlignment="1">
      <alignment horizontal="center" vertical="center" wrapText="1"/>
    </xf>
    <xf numFmtId="4" fontId="42" fillId="50" borderId="42" xfId="0" applyNumberFormat="1" applyFont="1" applyFill="1" applyBorder="1" applyAlignment="1">
      <alignment horizontal="center" vertical="center" wrapText="1"/>
    </xf>
    <xf numFmtId="4" fontId="44" fillId="50" borderId="42" xfId="0" applyNumberFormat="1" applyFont="1" applyFill="1" applyBorder="1" applyAlignment="1">
      <alignment horizontal="center" vertical="center" wrapText="1"/>
    </xf>
    <xf numFmtId="0" fontId="27" fillId="42" borderId="6" xfId="0" applyFont="1" applyFill="1" applyBorder="1" applyAlignment="1">
      <alignment horizontal="center" vertical="center" wrapText="1"/>
    </xf>
    <xf numFmtId="0" fontId="37" fillId="0" borderId="1" xfId="0" applyFont="1" applyBorder="1" applyAlignment="1">
      <alignment horizontal="center" vertical="center"/>
    </xf>
    <xf numFmtId="0" fontId="36" fillId="50" borderId="1" xfId="0" applyFont="1" applyFill="1" applyBorder="1" applyAlignment="1">
      <alignment horizontal="center" vertical="center"/>
    </xf>
    <xf numFmtId="0" fontId="21" fillId="0" borderId="1" xfId="0" applyFont="1" applyBorder="1" applyAlignment="1">
      <alignment horizontal="left" vertical="center"/>
    </xf>
    <xf numFmtId="0" fontId="21" fillId="2" borderId="1" xfId="0" applyFont="1" applyFill="1" applyBorder="1" applyAlignment="1">
      <alignment horizontal="center" vertical="center"/>
    </xf>
    <xf numFmtId="0" fontId="21" fillId="37" borderId="1" xfId="0" applyFont="1" applyFill="1" applyBorder="1" applyAlignment="1">
      <alignment horizontal="center" vertical="center" wrapText="1"/>
    </xf>
    <xf numFmtId="0" fontId="31" fillId="0" borderId="0" xfId="0" applyFont="1" applyAlignment="1">
      <alignment horizontal="center" vertical="center" wrapText="1"/>
    </xf>
    <xf numFmtId="0" fontId="25" fillId="37" borderId="0" xfId="0" applyFont="1" applyFill="1" applyAlignment="1">
      <alignment horizontal="center" vertical="center"/>
    </xf>
    <xf numFmtId="0" fontId="25" fillId="37" borderId="13" xfId="0" applyFont="1" applyFill="1" applyBorder="1" applyAlignment="1">
      <alignment horizontal="center" vertical="center" wrapText="1"/>
    </xf>
    <xf numFmtId="0" fontId="25" fillId="37" borderId="14" xfId="0" applyFont="1" applyFill="1" applyBorder="1" applyAlignment="1">
      <alignment horizontal="center" vertical="center" wrapText="1"/>
    </xf>
    <xf numFmtId="0" fontId="25" fillId="37" borderId="0" xfId="0" applyFont="1" applyFill="1" applyAlignment="1">
      <alignment horizontal="center" vertical="center" wrapText="1"/>
    </xf>
    <xf numFmtId="0" fontId="25" fillId="39" borderId="0" xfId="0" applyFont="1" applyFill="1" applyAlignment="1">
      <alignment horizontal="center" vertical="center"/>
    </xf>
    <xf numFmtId="0" fontId="25" fillId="2" borderId="0" xfId="0" applyFont="1" applyFill="1" applyAlignment="1">
      <alignment horizontal="center"/>
    </xf>
    <xf numFmtId="0" fontId="22" fillId="39" borderId="0" xfId="0" applyFont="1" applyFill="1" applyAlignment="1">
      <alignment horizontal="center"/>
    </xf>
    <xf numFmtId="0" fontId="25" fillId="38" borderId="13" xfId="0" applyFont="1" applyFill="1" applyBorder="1" applyAlignment="1">
      <alignment horizontal="center" vertical="center" wrapText="1"/>
    </xf>
    <xf numFmtId="0" fontId="25" fillId="38" borderId="14" xfId="0" applyFont="1" applyFill="1" applyBorder="1" applyAlignment="1">
      <alignment horizontal="center" vertical="center" wrapText="1"/>
    </xf>
    <xf numFmtId="0" fontId="25" fillId="41" borderId="13" xfId="0" applyFont="1" applyFill="1" applyBorder="1" applyAlignment="1">
      <alignment horizontal="center" vertical="center" wrapText="1"/>
    </xf>
    <xf numFmtId="0" fontId="25" fillId="41" borderId="14" xfId="0" applyFont="1" applyFill="1" applyBorder="1" applyAlignment="1">
      <alignment horizontal="center" vertical="center" wrapText="1"/>
    </xf>
    <xf numFmtId="0" fontId="24" fillId="0" borderId="0" xfId="0" applyFont="1" applyAlignment="1">
      <alignment horizontal="center"/>
    </xf>
    <xf numFmtId="0" fontId="25" fillId="38" borderId="16" xfId="0" applyFont="1" applyFill="1" applyBorder="1" applyAlignment="1">
      <alignment horizontal="center" vertical="center" wrapText="1"/>
    </xf>
    <xf numFmtId="165" fontId="23" fillId="0" borderId="13" xfId="0" applyNumberFormat="1" applyFont="1" applyBorder="1" applyAlignment="1">
      <alignment horizontal="center" vertical="center" wrapText="1"/>
    </xf>
    <xf numFmtId="165" fontId="23" fillId="0" borderId="14" xfId="0" applyNumberFormat="1" applyFont="1" applyBorder="1" applyAlignment="1">
      <alignment horizontal="center" vertical="center" wrapText="1"/>
    </xf>
    <xf numFmtId="0" fontId="23" fillId="0" borderId="0" xfId="0" applyFont="1" applyAlignment="1">
      <alignment horizontal="justify" vertical="center" wrapText="1"/>
    </xf>
    <xf numFmtId="0" fontId="25" fillId="0" borderId="0" xfId="0" applyFont="1" applyAlignment="1">
      <alignment horizontal="left" vertical="center"/>
    </xf>
    <xf numFmtId="0" fontId="23"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35" xfId="0" applyFont="1" applyBorder="1" applyAlignment="1">
      <alignment horizontal="justify" vertical="center" wrapText="1"/>
    </xf>
    <xf numFmtId="0" fontId="23" fillId="0" borderId="35" xfId="0" applyFont="1" applyBorder="1" applyAlignment="1">
      <alignment horizontal="justify" vertical="center"/>
    </xf>
    <xf numFmtId="0" fontId="23" fillId="0" borderId="0" xfId="0" applyFont="1" applyAlignment="1">
      <alignment horizontal="left" vertical="center"/>
    </xf>
    <xf numFmtId="10" fontId="23" fillId="0" borderId="13" xfId="0" applyNumberFormat="1" applyFont="1" applyBorder="1" applyAlignment="1">
      <alignment horizontal="center" vertical="center" wrapText="1"/>
    </xf>
    <xf numFmtId="10" fontId="23" fillId="0" borderId="14" xfId="0" applyNumberFormat="1" applyFont="1" applyBorder="1" applyAlignment="1">
      <alignment horizontal="center" vertical="center" wrapText="1"/>
    </xf>
    <xf numFmtId="10" fontId="25" fillId="37" borderId="13" xfId="0" applyNumberFormat="1" applyFont="1" applyFill="1" applyBorder="1" applyAlignment="1">
      <alignment horizontal="center" vertical="center" wrapText="1"/>
    </xf>
    <xf numFmtId="10" fontId="25" fillId="37" borderId="14" xfId="0" applyNumberFormat="1" applyFont="1" applyFill="1" applyBorder="1" applyAlignment="1">
      <alignment horizontal="center" vertical="center" wrapText="1"/>
    </xf>
    <xf numFmtId="0" fontId="22" fillId="39" borderId="0" xfId="0" applyFont="1" applyFill="1" applyAlignment="1">
      <alignment horizontal="center" vertical="center"/>
    </xf>
    <xf numFmtId="0" fontId="23" fillId="0" borderId="16" xfId="0" applyFont="1" applyBorder="1" applyAlignment="1">
      <alignment horizontal="center" vertical="center" wrapText="1"/>
    </xf>
    <xf numFmtId="0" fontId="25" fillId="37" borderId="61" xfId="0" applyFont="1" applyFill="1" applyBorder="1" applyAlignment="1">
      <alignment horizontal="center" vertical="center" wrapText="1"/>
    </xf>
    <xf numFmtId="165" fontId="23" fillId="0" borderId="63" xfId="0" applyNumberFormat="1" applyFont="1" applyBorder="1" applyAlignment="1">
      <alignment horizontal="center" vertical="center" wrapText="1"/>
    </xf>
    <xf numFmtId="165" fontId="23" fillId="0" borderId="64" xfId="0" applyNumberFormat="1" applyFont="1" applyBorder="1" applyAlignment="1">
      <alignment horizontal="center" vertical="center" wrapText="1"/>
    </xf>
    <xf numFmtId="0" fontId="33" fillId="0" borderId="0" xfId="0" applyFont="1" applyAlignment="1">
      <alignment horizontal="justify" vertical="center" wrapText="1"/>
    </xf>
    <xf numFmtId="0" fontId="25" fillId="37" borderId="16" xfId="0" applyFont="1" applyFill="1" applyBorder="1" applyAlignment="1">
      <alignment horizontal="center" vertical="center" wrapText="1"/>
    </xf>
    <xf numFmtId="165" fontId="23" fillId="0" borderId="16" xfId="0" applyNumberFormat="1" applyFont="1" applyBorder="1" applyAlignment="1">
      <alignment horizontal="justify" vertical="center" wrapText="1"/>
    </xf>
    <xf numFmtId="0" fontId="23" fillId="0" borderId="1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1" fillId="40" borderId="1" xfId="0" applyFont="1" applyFill="1" applyBorder="1" applyAlignment="1">
      <alignment horizontal="center" vertical="center"/>
    </xf>
    <xf numFmtId="0" fontId="21" fillId="42" borderId="19" xfId="0" applyFont="1" applyFill="1" applyBorder="1" applyAlignment="1">
      <alignment horizontal="center" vertical="center"/>
    </xf>
    <xf numFmtId="0" fontId="21" fillId="42" borderId="30" xfId="0" applyFont="1" applyFill="1" applyBorder="1" applyAlignment="1">
      <alignment horizontal="center" vertical="center"/>
    </xf>
    <xf numFmtId="0" fontId="21" fillId="42" borderId="31" xfId="0" applyFont="1" applyFill="1" applyBorder="1" applyAlignment="1">
      <alignment horizontal="center" vertical="center"/>
    </xf>
    <xf numFmtId="0" fontId="20" fillId="0" borderId="1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1" fillId="42" borderId="19" xfId="0" applyFont="1" applyFill="1" applyBorder="1" applyAlignment="1">
      <alignment horizontal="center" vertical="center" wrapText="1"/>
    </xf>
    <xf numFmtId="0" fontId="21" fillId="42" borderId="30" xfId="0" applyFont="1" applyFill="1" applyBorder="1" applyAlignment="1">
      <alignment horizontal="center" vertical="center" wrapText="1"/>
    </xf>
    <xf numFmtId="0" fontId="21" fillId="42" borderId="31" xfId="0" applyFont="1" applyFill="1" applyBorder="1" applyAlignment="1">
      <alignment horizontal="center" vertical="center" wrapText="1"/>
    </xf>
    <xf numFmtId="0" fontId="21" fillId="39" borderId="0" xfId="0" applyFont="1" applyFill="1" applyAlignment="1">
      <alignment horizontal="center" vertical="center" wrapText="1"/>
    </xf>
    <xf numFmtId="0" fontId="20" fillId="0" borderId="0" xfId="0" applyFont="1" applyAlignment="1">
      <alignment horizontal="justify" vertical="center" wrapText="1"/>
    </xf>
    <xf numFmtId="165"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1" fillId="46" borderId="19" xfId="0" applyFont="1" applyFill="1" applyBorder="1" applyAlignment="1">
      <alignment horizontal="center" vertical="center"/>
    </xf>
    <xf numFmtId="0" fontId="21" fillId="46" borderId="30" xfId="0" applyFont="1" applyFill="1" applyBorder="1" applyAlignment="1">
      <alignment horizontal="center" vertical="center"/>
    </xf>
    <xf numFmtId="0" fontId="21" fillId="46" borderId="31" xfId="0" applyFont="1" applyFill="1" applyBorder="1" applyAlignment="1">
      <alignment horizontal="center" vertical="center"/>
    </xf>
    <xf numFmtId="0" fontId="26" fillId="46" borderId="10" xfId="0" applyFont="1" applyFill="1" applyBorder="1" applyAlignment="1">
      <alignment horizontal="center" vertical="center" wrapText="1"/>
    </xf>
    <xf numFmtId="0" fontId="21" fillId="46" borderId="15" xfId="0" applyFont="1" applyFill="1" applyBorder="1" applyAlignment="1">
      <alignment horizontal="center" vertical="center"/>
    </xf>
    <xf numFmtId="0" fontId="21" fillId="46" borderId="32" xfId="0" applyFont="1" applyFill="1" applyBorder="1" applyAlignment="1">
      <alignment horizontal="center" vertical="center"/>
    </xf>
    <xf numFmtId="0" fontId="26" fillId="46" borderId="33" xfId="0" applyFont="1" applyFill="1" applyBorder="1" applyAlignment="1">
      <alignment horizontal="center" vertical="center" wrapText="1"/>
    </xf>
    <xf numFmtId="0" fontId="26" fillId="46" borderId="34" xfId="0" applyFont="1" applyFill="1" applyBorder="1" applyAlignment="1">
      <alignment horizontal="center" vertical="center" wrapText="1"/>
    </xf>
    <xf numFmtId="0" fontId="21" fillId="35" borderId="19" xfId="0" applyFont="1" applyFill="1" applyBorder="1" applyAlignment="1">
      <alignment horizontal="center" vertical="center"/>
    </xf>
    <xf numFmtId="0" fontId="21" fillId="35" borderId="30" xfId="0" applyFont="1" applyFill="1" applyBorder="1" applyAlignment="1">
      <alignment horizontal="center" vertical="center"/>
    </xf>
    <xf numFmtId="0" fontId="21" fillId="35" borderId="31" xfId="0" applyFont="1" applyFill="1" applyBorder="1" applyAlignment="1">
      <alignment horizontal="center" vertical="center"/>
    </xf>
    <xf numFmtId="0" fontId="26" fillId="43" borderId="35" xfId="0" applyFont="1" applyFill="1" applyBorder="1" applyAlignment="1">
      <alignment horizontal="center" vertical="center" wrapText="1"/>
    </xf>
    <xf numFmtId="0" fontId="26" fillId="43" borderId="36" xfId="0" applyFont="1" applyFill="1" applyBorder="1" applyAlignment="1">
      <alignment horizontal="center" vertical="center" wrapText="1"/>
    </xf>
    <xf numFmtId="0" fontId="26" fillId="39" borderId="1"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35" borderId="37" xfId="0" applyFont="1" applyFill="1" applyBorder="1" applyAlignment="1">
      <alignment horizontal="center" vertical="center" wrapText="1"/>
    </xf>
    <xf numFmtId="0" fontId="26" fillId="35" borderId="38" xfId="0" applyFont="1" applyFill="1" applyBorder="1" applyAlignment="1">
      <alignment horizontal="center" vertical="center" wrapText="1"/>
    </xf>
    <xf numFmtId="0" fontId="26" fillId="43" borderId="39" xfId="0" applyFont="1" applyFill="1" applyBorder="1" applyAlignment="1">
      <alignment horizontal="center" vertical="center" wrapText="1"/>
    </xf>
    <xf numFmtId="3" fontId="37" fillId="0" borderId="10" xfId="0" applyNumberFormat="1" applyFont="1" applyBorder="1" applyAlignment="1">
      <alignment horizontal="center" vertical="center"/>
    </xf>
    <xf numFmtId="0" fontId="37" fillId="0" borderId="10" xfId="0" applyFont="1" applyBorder="1" applyAlignment="1">
      <alignment horizontal="center" vertical="center"/>
    </xf>
    <xf numFmtId="0" fontId="37" fillId="0" borderId="8" xfId="0" applyFont="1" applyBorder="1" applyAlignment="1">
      <alignment horizontal="center" vertical="center"/>
    </xf>
    <xf numFmtId="4" fontId="27" fillId="49" borderId="43" xfId="1" applyNumberFormat="1" applyFont="1" applyFill="1" applyBorder="1" applyAlignment="1">
      <alignment horizontal="center" vertical="center" wrapText="1"/>
    </xf>
    <xf numFmtId="4" fontId="27" fillId="49" borderId="41" xfId="1" applyNumberFormat="1" applyFont="1" applyFill="1" applyBorder="1" applyAlignment="1">
      <alignment horizontal="center" vertical="center" wrapText="1"/>
    </xf>
    <xf numFmtId="4" fontId="27" fillId="49" borderId="44" xfId="1" applyNumberFormat="1" applyFont="1" applyFill="1" applyBorder="1" applyAlignment="1">
      <alignment horizontal="center" vertical="center" wrapText="1"/>
    </xf>
    <xf numFmtId="4" fontId="27" fillId="49" borderId="45" xfId="1" applyNumberFormat="1" applyFont="1" applyFill="1" applyBorder="1" applyAlignment="1">
      <alignment horizontal="center" vertical="center" wrapText="1"/>
    </xf>
    <xf numFmtId="4" fontId="27" fillId="49" borderId="46" xfId="1" applyNumberFormat="1" applyFont="1" applyFill="1" applyBorder="1" applyAlignment="1">
      <alignment horizontal="center" vertical="center" wrapText="1"/>
    </xf>
    <xf numFmtId="3" fontId="27" fillId="49" borderId="44" xfId="1" applyNumberFormat="1" applyFont="1" applyFill="1" applyBorder="1" applyAlignment="1">
      <alignment horizontal="center" vertical="center" wrapText="1"/>
    </xf>
    <xf numFmtId="3" fontId="27" fillId="49" borderId="45" xfId="1" applyNumberFormat="1" applyFont="1" applyFill="1" applyBorder="1" applyAlignment="1">
      <alignment horizontal="center" vertical="center" wrapText="1"/>
    </xf>
    <xf numFmtId="3" fontId="27" fillId="49" borderId="46" xfId="1" applyNumberFormat="1" applyFont="1" applyFill="1" applyBorder="1" applyAlignment="1">
      <alignment horizontal="center" vertical="center" wrapText="1"/>
    </xf>
    <xf numFmtId="0" fontId="36" fillId="50" borderId="1" xfId="0" applyFont="1" applyFill="1" applyBorder="1" applyAlignment="1">
      <alignment horizontal="center" vertical="center"/>
    </xf>
    <xf numFmtId="0" fontId="17" fillId="0" borderId="1" xfId="0" applyFont="1" applyBorder="1" applyAlignment="1">
      <alignment horizontal="center" vertical="center"/>
    </xf>
    <xf numFmtId="0" fontId="17" fillId="50" borderId="1" xfId="0" applyFont="1" applyFill="1" applyBorder="1" applyAlignment="1">
      <alignment horizontal="center" vertical="center"/>
    </xf>
    <xf numFmtId="0" fontId="37" fillId="50" borderId="1" xfId="0" applyFont="1" applyFill="1"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center" vertical="center"/>
    </xf>
    <xf numFmtId="3" fontId="17" fillId="0" borderId="10"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27" fillId="42" borderId="2" xfId="0" applyFont="1" applyFill="1" applyBorder="1" applyAlignment="1">
      <alignment horizontal="center" vertical="center" wrapText="1"/>
    </xf>
    <xf numFmtId="0" fontId="27" fillId="42" borderId="4" xfId="0" applyFont="1" applyFill="1" applyBorder="1" applyAlignment="1">
      <alignment horizontal="center" vertical="center" wrapText="1"/>
    </xf>
    <xf numFmtId="0" fontId="27" fillId="42" borderId="6" xfId="0" applyFont="1" applyFill="1" applyBorder="1" applyAlignment="1">
      <alignment horizontal="center" vertical="center" wrapText="1"/>
    </xf>
    <xf numFmtId="0" fontId="27" fillId="42" borderId="7" xfId="0" applyFont="1" applyFill="1" applyBorder="1" applyAlignment="1">
      <alignment horizontal="center" vertical="center" wrapText="1"/>
    </xf>
    <xf numFmtId="0" fontId="27" fillId="46" borderId="6" xfId="0" applyFont="1" applyFill="1" applyBorder="1" applyAlignment="1">
      <alignment horizontal="center" vertical="center" wrapText="1"/>
    </xf>
    <xf numFmtId="0" fontId="27" fillId="35" borderId="6" xfId="0" applyFont="1" applyFill="1" applyBorder="1" applyAlignment="1">
      <alignment horizontal="center" vertical="center" wrapText="1"/>
    </xf>
    <xf numFmtId="0" fontId="43" fillId="0" borderId="40" xfId="0" applyFont="1" applyFill="1" applyBorder="1" applyAlignment="1">
      <alignment horizontal="center" vertical="center" wrapText="1"/>
    </xf>
    <xf numFmtId="0" fontId="43" fillId="0" borderId="41" xfId="0" applyFont="1" applyFill="1" applyBorder="1" applyAlignment="1">
      <alignment horizontal="center" vertical="center" wrapText="1"/>
    </xf>
    <xf numFmtId="0" fontId="43" fillId="49" borderId="43" xfId="0" applyFont="1" applyFill="1" applyBorder="1" applyAlignment="1">
      <alignment horizontal="center" vertical="center" wrapText="1"/>
    </xf>
    <xf numFmtId="0" fontId="43" fillId="49" borderId="40" xfId="0" applyFont="1" applyFill="1" applyBorder="1" applyAlignment="1">
      <alignment horizontal="center" vertical="center" wrapText="1"/>
    </xf>
    <xf numFmtId="0" fontId="43" fillId="49" borderId="41" xfId="0" applyFont="1" applyFill="1" applyBorder="1" applyAlignment="1">
      <alignment horizontal="center" vertical="center" wrapText="1"/>
    </xf>
    <xf numFmtId="3" fontId="17" fillId="50" borderId="47" xfId="0" applyNumberFormat="1" applyFont="1" applyFill="1" applyBorder="1" applyAlignment="1">
      <alignment horizontal="center" vertical="center"/>
    </xf>
    <xf numFmtId="3" fontId="17" fillId="50" borderId="48" xfId="0" applyNumberFormat="1" applyFont="1" applyFill="1" applyBorder="1" applyAlignment="1">
      <alignment horizontal="center" vertical="center"/>
    </xf>
    <xf numFmtId="3" fontId="17" fillId="50" borderId="49" xfId="0" applyNumberFormat="1" applyFont="1" applyFill="1" applyBorder="1" applyAlignment="1">
      <alignment horizontal="center" vertical="center"/>
    </xf>
    <xf numFmtId="4" fontId="27" fillId="50" borderId="43" xfId="1" applyNumberFormat="1" applyFont="1" applyFill="1" applyBorder="1" applyAlignment="1">
      <alignment horizontal="center" vertical="center" wrapText="1"/>
    </xf>
    <xf numFmtId="4" fontId="27" fillId="50" borderId="41" xfId="1" applyNumberFormat="1" applyFont="1" applyFill="1" applyBorder="1" applyAlignment="1">
      <alignment horizontal="center" vertical="center" wrapText="1"/>
    </xf>
    <xf numFmtId="4" fontId="27" fillId="50" borderId="44" xfId="1" applyNumberFormat="1" applyFont="1" applyFill="1" applyBorder="1" applyAlignment="1">
      <alignment horizontal="center" vertical="center" wrapText="1"/>
    </xf>
    <xf numFmtId="4" fontId="27" fillId="50" borderId="45" xfId="1" applyNumberFormat="1" applyFont="1" applyFill="1" applyBorder="1" applyAlignment="1">
      <alignment horizontal="center" vertical="center" wrapText="1"/>
    </xf>
    <xf numFmtId="4" fontId="27" fillId="50" borderId="46" xfId="1" applyNumberFormat="1" applyFont="1" applyFill="1" applyBorder="1" applyAlignment="1">
      <alignment horizontal="center" vertical="center" wrapText="1"/>
    </xf>
    <xf numFmtId="3" fontId="27" fillId="50" borderId="44" xfId="1" applyNumberFormat="1" applyFont="1" applyFill="1" applyBorder="1" applyAlignment="1">
      <alignment horizontal="center" vertical="center" wrapText="1"/>
    </xf>
    <xf numFmtId="3" fontId="27" fillId="50" borderId="45" xfId="1" applyNumberFormat="1" applyFont="1" applyFill="1" applyBorder="1" applyAlignment="1">
      <alignment horizontal="center" vertical="center" wrapText="1"/>
    </xf>
    <xf numFmtId="3" fontId="27" fillId="50" borderId="46" xfId="1" applyNumberFormat="1" applyFont="1" applyFill="1" applyBorder="1" applyAlignment="1">
      <alignment horizontal="center" vertical="center" wrapText="1"/>
    </xf>
    <xf numFmtId="0" fontId="43" fillId="50" borderId="43" xfId="0" applyFont="1" applyFill="1" applyBorder="1" applyAlignment="1">
      <alignment horizontal="center" vertical="center" wrapText="1"/>
    </xf>
    <xf numFmtId="0" fontId="43" fillId="50" borderId="40" xfId="0" applyFont="1" applyFill="1" applyBorder="1" applyAlignment="1">
      <alignment horizontal="center" vertical="center" wrapText="1"/>
    </xf>
    <xf numFmtId="0" fontId="43" fillId="50" borderId="41" xfId="0" applyFont="1" applyFill="1" applyBorder="1" applyAlignment="1">
      <alignment horizontal="center" vertical="center" wrapText="1"/>
    </xf>
    <xf numFmtId="0" fontId="43" fillId="51" borderId="43" xfId="0" applyFont="1" applyFill="1" applyBorder="1" applyAlignment="1">
      <alignment horizontal="center" vertical="center" wrapText="1"/>
    </xf>
    <xf numFmtId="0" fontId="43" fillId="51" borderId="40" xfId="0" applyFont="1" applyFill="1" applyBorder="1" applyAlignment="1">
      <alignment horizontal="center" vertical="center" wrapText="1"/>
    </xf>
    <xf numFmtId="0" fontId="43" fillId="51" borderId="41" xfId="0" applyFont="1" applyFill="1" applyBorder="1" applyAlignment="1">
      <alignment horizontal="center" vertical="center" wrapText="1"/>
    </xf>
    <xf numFmtId="3" fontId="37" fillId="50" borderId="47" xfId="0" applyNumberFormat="1" applyFont="1" applyFill="1" applyBorder="1" applyAlignment="1">
      <alignment horizontal="center" vertical="center"/>
    </xf>
    <xf numFmtId="3" fontId="37" fillId="50" borderId="48" xfId="0" applyNumberFormat="1" applyFont="1" applyFill="1" applyBorder="1" applyAlignment="1">
      <alignment horizontal="center" vertical="center"/>
    </xf>
    <xf numFmtId="3" fontId="37" fillId="50" borderId="49" xfId="0" applyNumberFormat="1" applyFont="1" applyFill="1" applyBorder="1" applyAlignment="1">
      <alignment horizontal="center" vertical="center"/>
    </xf>
    <xf numFmtId="0" fontId="43" fillId="0" borderId="43" xfId="0" applyFont="1" applyFill="1" applyBorder="1" applyAlignment="1">
      <alignment horizontal="center" vertical="center" wrapText="1"/>
    </xf>
    <xf numFmtId="0" fontId="43" fillId="0" borderId="43"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41" xfId="0" applyFont="1" applyBorder="1" applyAlignment="1">
      <alignment horizontal="center" vertical="center" wrapText="1"/>
    </xf>
    <xf numFmtId="0" fontId="28" fillId="51" borderId="43" xfId="0" applyFont="1" applyFill="1" applyBorder="1" applyAlignment="1">
      <alignment horizontal="center" vertical="center" wrapText="1"/>
    </xf>
    <xf numFmtId="0" fontId="28" fillId="51" borderId="40" xfId="0" applyFont="1" applyFill="1" applyBorder="1" applyAlignment="1">
      <alignment horizontal="center" vertical="center" wrapText="1"/>
    </xf>
    <xf numFmtId="0" fontId="28" fillId="51" borderId="41" xfId="0" applyFont="1" applyFill="1" applyBorder="1" applyAlignment="1">
      <alignment horizontal="center" vertical="center" wrapText="1"/>
    </xf>
    <xf numFmtId="3" fontId="37" fillId="50" borderId="50" xfId="0" applyNumberFormat="1" applyFont="1" applyFill="1" applyBorder="1" applyAlignment="1">
      <alignment horizontal="center" vertical="center"/>
    </xf>
    <xf numFmtId="0" fontId="17" fillId="0" borderId="35" xfId="0" applyFont="1" applyBorder="1" applyAlignment="1">
      <alignment horizontal="justify" vertical="center" wrapText="1"/>
    </xf>
    <xf numFmtId="0" fontId="17" fillId="0" borderId="0" xfId="0" applyFont="1" applyAlignment="1">
      <alignment horizontal="justify" vertical="center" wrapText="1"/>
    </xf>
    <xf numFmtId="0" fontId="43" fillId="50" borderId="1" xfId="0" applyFont="1" applyFill="1" applyBorder="1" applyAlignment="1">
      <alignment horizontal="center" vertical="center" wrapText="1"/>
    </xf>
    <xf numFmtId="3" fontId="37" fillId="50" borderId="10" xfId="0" applyNumberFormat="1" applyFont="1" applyFill="1" applyBorder="1" applyAlignment="1">
      <alignment horizontal="center" vertical="center"/>
    </xf>
    <xf numFmtId="0" fontId="37" fillId="50" borderId="10" xfId="0" applyFont="1" applyFill="1" applyBorder="1" applyAlignment="1">
      <alignment horizontal="center" vertical="center"/>
    </xf>
    <xf numFmtId="0" fontId="37" fillId="50" borderId="8" xfId="0" applyFont="1" applyFill="1" applyBorder="1" applyAlignment="1">
      <alignment horizontal="center" vertical="center"/>
    </xf>
    <xf numFmtId="4" fontId="27" fillId="50" borderId="40" xfId="1" applyNumberFormat="1" applyFont="1" applyFill="1" applyBorder="1" applyAlignment="1">
      <alignment horizontal="center" vertical="center" wrapText="1"/>
    </xf>
    <xf numFmtId="4" fontId="27" fillId="50" borderId="51" xfId="1" applyNumberFormat="1" applyFont="1" applyFill="1" applyBorder="1" applyAlignment="1">
      <alignment horizontal="center" vertical="center" wrapText="1"/>
    </xf>
    <xf numFmtId="4" fontId="27" fillId="50" borderId="52" xfId="1" applyNumberFormat="1" applyFont="1" applyFill="1" applyBorder="1" applyAlignment="1">
      <alignment horizontal="center" vertical="center" wrapText="1"/>
    </xf>
    <xf numFmtId="4" fontId="27" fillId="50" borderId="53" xfId="1" applyNumberFormat="1" applyFont="1" applyFill="1" applyBorder="1" applyAlignment="1">
      <alignment horizontal="center" vertical="center" wrapText="1"/>
    </xf>
    <xf numFmtId="3" fontId="27" fillId="50" borderId="1" xfId="1" applyNumberFormat="1" applyFont="1" applyFill="1" applyBorder="1" applyAlignment="1">
      <alignment horizontal="center" vertical="center" wrapText="1"/>
    </xf>
    <xf numFmtId="4" fontId="27" fillId="49" borderId="40" xfId="1" applyNumberFormat="1" applyFont="1" applyFill="1" applyBorder="1" applyAlignment="1">
      <alignment horizontal="center" vertical="center" wrapText="1"/>
    </xf>
    <xf numFmtId="4" fontId="27" fillId="49" borderId="51" xfId="1" applyNumberFormat="1" applyFont="1" applyFill="1" applyBorder="1" applyAlignment="1">
      <alignment horizontal="center" vertical="center" wrapText="1"/>
    </xf>
    <xf numFmtId="4" fontId="27" fillId="49" borderId="52" xfId="1" applyNumberFormat="1" applyFont="1" applyFill="1" applyBorder="1" applyAlignment="1">
      <alignment horizontal="center" vertical="center" wrapText="1"/>
    </xf>
    <xf numFmtId="4" fontId="27" fillId="49" borderId="53" xfId="1" applyNumberFormat="1" applyFont="1" applyFill="1" applyBorder="1" applyAlignment="1">
      <alignment horizontal="center" vertical="center" wrapText="1"/>
    </xf>
    <xf numFmtId="3" fontId="27" fillId="49" borderId="1" xfId="1" applyNumberFormat="1" applyFont="1" applyFill="1" applyBorder="1" applyAlignment="1">
      <alignment horizontal="center" vertical="center" wrapText="1"/>
    </xf>
    <xf numFmtId="0" fontId="17" fillId="42" borderId="1" xfId="0" applyFont="1" applyFill="1" applyBorder="1" applyAlignment="1">
      <alignment horizontal="center" vertical="center"/>
    </xf>
    <xf numFmtId="0" fontId="43" fillId="51"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49" borderId="1" xfId="0" applyFont="1" applyFill="1" applyBorder="1" applyAlignment="1">
      <alignment horizontal="center" vertical="center" wrapText="1"/>
    </xf>
    <xf numFmtId="0" fontId="28" fillId="49" borderId="43" xfId="0" applyFont="1" applyFill="1" applyBorder="1" applyAlignment="1">
      <alignment horizontal="center" vertical="center" wrapText="1"/>
    </xf>
    <xf numFmtId="0" fontId="28" fillId="49" borderId="40" xfId="0" applyFont="1" applyFill="1" applyBorder="1" applyAlignment="1">
      <alignment horizontal="center" vertical="center" wrapText="1"/>
    </xf>
    <xf numFmtId="0" fontId="28" fillId="49" borderId="41" xfId="0" applyFont="1" applyFill="1" applyBorder="1" applyAlignment="1">
      <alignment horizontal="center" vertical="center" wrapText="1"/>
    </xf>
    <xf numFmtId="3" fontId="17" fillId="44" borderId="10" xfId="0" applyNumberFormat="1" applyFont="1" applyFill="1" applyBorder="1" applyAlignment="1">
      <alignment horizontal="center" vertical="center"/>
    </xf>
    <xf numFmtId="0" fontId="17" fillId="44" borderId="10" xfId="0" applyFont="1" applyFill="1" applyBorder="1" applyAlignment="1">
      <alignment horizontal="center" vertical="center"/>
    </xf>
    <xf numFmtId="0" fontId="17" fillId="44" borderId="8" xfId="0" applyFont="1" applyFill="1" applyBorder="1" applyAlignment="1">
      <alignment horizontal="center" vertical="center"/>
    </xf>
    <xf numFmtId="3" fontId="37" fillId="44" borderId="10" xfId="0" applyNumberFormat="1" applyFont="1" applyFill="1" applyBorder="1" applyAlignment="1">
      <alignment horizontal="center" vertical="center"/>
    </xf>
    <xf numFmtId="0" fontId="37" fillId="44" borderId="10" xfId="0" applyFont="1" applyFill="1" applyBorder="1" applyAlignment="1">
      <alignment horizontal="center" vertical="center"/>
    </xf>
    <xf numFmtId="0" fontId="37" fillId="44" borderId="8" xfId="0" applyFont="1" applyFill="1" applyBorder="1" applyAlignment="1">
      <alignment horizontal="center" vertical="center"/>
    </xf>
    <xf numFmtId="0" fontId="17" fillId="0" borderId="35" xfId="0" applyFont="1" applyBorder="1" applyAlignment="1">
      <alignment horizontal="left" vertical="center"/>
    </xf>
    <xf numFmtId="0" fontId="27" fillId="42" borderId="11" xfId="0" applyFont="1" applyFill="1" applyBorder="1" applyAlignment="1">
      <alignment horizontal="center" vertical="center" wrapText="1"/>
    </xf>
    <xf numFmtId="3" fontId="37" fillId="36" borderId="55" xfId="0" applyNumberFormat="1" applyFont="1" applyFill="1" applyBorder="1" applyAlignment="1">
      <alignment horizontal="center" vertical="center"/>
    </xf>
    <xf numFmtId="3" fontId="37" fillId="36" borderId="48" xfId="0" applyNumberFormat="1" applyFont="1" applyFill="1" applyBorder="1" applyAlignment="1">
      <alignment horizontal="center" vertical="center"/>
    </xf>
    <xf numFmtId="3" fontId="37" fillId="36" borderId="49" xfId="0" applyNumberFormat="1" applyFont="1" applyFill="1" applyBorder="1" applyAlignment="1">
      <alignment horizontal="center" vertical="center"/>
    </xf>
    <xf numFmtId="3" fontId="17" fillId="0" borderId="47" xfId="0" applyNumberFormat="1" applyFont="1" applyBorder="1" applyAlignment="1">
      <alignment horizontal="center" vertical="center"/>
    </xf>
    <xf numFmtId="3" fontId="17" fillId="0" borderId="48" xfId="0" applyNumberFormat="1" applyFont="1" applyBorder="1" applyAlignment="1">
      <alignment horizontal="center" vertical="center"/>
    </xf>
    <xf numFmtId="3" fontId="17" fillId="0" borderId="49" xfId="0" applyNumberFormat="1" applyFont="1" applyBorder="1" applyAlignment="1">
      <alignment horizontal="center" vertical="center"/>
    </xf>
    <xf numFmtId="3" fontId="37" fillId="0" borderId="47" xfId="0" applyNumberFormat="1" applyFont="1" applyBorder="1" applyAlignment="1">
      <alignment horizontal="center" vertical="center"/>
    </xf>
    <xf numFmtId="3" fontId="37" fillId="0" borderId="48" xfId="0" applyNumberFormat="1" applyFont="1" applyBorder="1" applyAlignment="1">
      <alignment horizontal="center" vertical="center"/>
    </xf>
    <xf numFmtId="3" fontId="37" fillId="0" borderId="49" xfId="0" applyNumberFormat="1" applyFont="1" applyBorder="1" applyAlignment="1">
      <alignment horizontal="center" vertical="center"/>
    </xf>
    <xf numFmtId="4" fontId="27" fillId="36" borderId="43" xfId="1" applyNumberFormat="1" applyFont="1" applyFill="1" applyBorder="1" applyAlignment="1">
      <alignment horizontal="center" vertical="center" wrapText="1"/>
    </xf>
    <xf numFmtId="4" fontId="27" fillId="36" borderId="41" xfId="1" applyNumberFormat="1" applyFont="1" applyFill="1" applyBorder="1" applyAlignment="1">
      <alignment horizontal="center" vertical="center" wrapText="1"/>
    </xf>
    <xf numFmtId="4" fontId="27" fillId="0" borderId="43" xfId="1" applyNumberFormat="1" applyFont="1" applyFill="1" applyBorder="1" applyAlignment="1">
      <alignment horizontal="center" vertical="center" wrapText="1"/>
    </xf>
    <xf numFmtId="4" fontId="27" fillId="0" borderId="41" xfId="1" applyNumberFormat="1" applyFont="1" applyFill="1" applyBorder="1" applyAlignment="1">
      <alignment horizontal="center" vertical="center" wrapText="1"/>
    </xf>
    <xf numFmtId="4" fontId="27" fillId="0" borderId="44" xfId="1" applyNumberFormat="1" applyFont="1" applyFill="1" applyBorder="1" applyAlignment="1">
      <alignment horizontal="center" vertical="center" wrapText="1"/>
    </xf>
    <xf numFmtId="4" fontId="27" fillId="0" borderId="45" xfId="1" applyNumberFormat="1" applyFont="1" applyFill="1" applyBorder="1" applyAlignment="1">
      <alignment horizontal="center" vertical="center" wrapText="1"/>
    </xf>
    <xf numFmtId="4" fontId="27" fillId="0" borderId="46" xfId="1" applyNumberFormat="1" applyFont="1" applyFill="1" applyBorder="1" applyAlignment="1">
      <alignment horizontal="center" vertical="center" wrapText="1"/>
    </xf>
    <xf numFmtId="3" fontId="27" fillId="0" borderId="44" xfId="1" applyNumberFormat="1" applyFont="1" applyFill="1" applyBorder="1" applyAlignment="1">
      <alignment horizontal="center" vertical="center" wrapText="1"/>
    </xf>
    <xf numFmtId="3" fontId="27" fillId="0" borderId="45" xfId="1" applyNumberFormat="1" applyFont="1" applyFill="1" applyBorder="1" applyAlignment="1">
      <alignment horizontal="center" vertical="center" wrapText="1"/>
    </xf>
    <xf numFmtId="3" fontId="27" fillId="0" borderId="46" xfId="1" applyNumberFormat="1" applyFont="1" applyFill="1" applyBorder="1" applyAlignment="1">
      <alignment horizontal="center" vertical="center" wrapText="1"/>
    </xf>
    <xf numFmtId="0" fontId="27" fillId="42" borderId="1" xfId="0" applyFont="1" applyFill="1" applyBorder="1" applyAlignment="1">
      <alignment horizontal="center" vertical="center" wrapText="1"/>
    </xf>
    <xf numFmtId="0" fontId="27" fillId="42" borderId="59" xfId="0" applyFont="1" applyFill="1" applyBorder="1" applyAlignment="1">
      <alignment horizontal="center" vertical="center" wrapText="1"/>
    </xf>
    <xf numFmtId="0" fontId="27" fillId="42" borderId="60" xfId="0" applyFont="1" applyFill="1" applyBorder="1" applyAlignment="1">
      <alignment horizontal="center" vertical="center" wrapText="1"/>
    </xf>
    <xf numFmtId="0" fontId="43" fillId="0" borderId="1" xfId="0" applyFont="1" applyFill="1" applyBorder="1" applyAlignment="1">
      <alignment horizontal="center" vertical="center" wrapText="1"/>
    </xf>
    <xf numFmtId="3" fontId="17" fillId="44" borderId="47" xfId="0" applyNumberFormat="1" applyFont="1" applyFill="1" applyBorder="1" applyAlignment="1">
      <alignment horizontal="center" vertical="center"/>
    </xf>
    <xf numFmtId="3" fontId="17" fillId="44" borderId="48" xfId="0" applyNumberFormat="1" applyFont="1" applyFill="1" applyBorder="1" applyAlignment="1">
      <alignment horizontal="center" vertical="center"/>
    </xf>
    <xf numFmtId="3" fontId="17" fillId="44" borderId="49" xfId="0" applyNumberFormat="1" applyFont="1" applyFill="1" applyBorder="1" applyAlignment="1">
      <alignment horizontal="center" vertical="center"/>
    </xf>
    <xf numFmtId="3" fontId="37" fillId="44" borderId="47" xfId="0" applyNumberFormat="1" applyFont="1" applyFill="1" applyBorder="1" applyAlignment="1">
      <alignment horizontal="center" vertical="center"/>
    </xf>
    <xf numFmtId="3" fontId="37" fillId="44" borderId="48" xfId="0" applyNumberFormat="1" applyFont="1" applyFill="1" applyBorder="1" applyAlignment="1">
      <alignment horizontal="center" vertical="center"/>
    </xf>
    <xf numFmtId="3" fontId="37" fillId="44" borderId="49" xfId="0" applyNumberFormat="1" applyFont="1" applyFill="1" applyBorder="1" applyAlignment="1">
      <alignment horizontal="center" vertical="center"/>
    </xf>
    <xf numFmtId="3" fontId="17" fillId="50" borderId="1" xfId="0" applyNumberFormat="1" applyFont="1" applyFill="1" applyBorder="1" applyAlignment="1">
      <alignment horizontal="center" vertical="center"/>
    </xf>
    <xf numFmtId="0" fontId="17" fillId="50" borderId="12" xfId="0" applyFont="1" applyFill="1" applyBorder="1" applyAlignment="1">
      <alignment horizontal="center" vertical="center"/>
    </xf>
    <xf numFmtId="4" fontId="27" fillId="50" borderId="1" xfId="1" applyNumberFormat="1" applyFont="1" applyFill="1" applyBorder="1" applyAlignment="1">
      <alignment horizontal="center" vertical="center" wrapText="1"/>
    </xf>
    <xf numFmtId="0" fontId="27" fillId="39" borderId="9" xfId="0" applyFont="1" applyFill="1" applyBorder="1" applyAlignment="1">
      <alignment horizontal="center" vertical="center" wrapText="1"/>
    </xf>
    <xf numFmtId="0" fontId="27" fillId="39" borderId="10" xfId="0" applyFont="1" applyFill="1" applyBorder="1" applyAlignment="1">
      <alignment horizontal="center" vertical="center" wrapText="1"/>
    </xf>
    <xf numFmtId="0" fontId="43" fillId="50" borderId="54" xfId="0" applyFont="1" applyFill="1" applyBorder="1" applyAlignment="1">
      <alignment horizontal="center" vertical="center" wrapText="1"/>
    </xf>
    <xf numFmtId="4" fontId="27" fillId="50" borderId="56" xfId="1" applyNumberFormat="1" applyFont="1" applyFill="1" applyBorder="1" applyAlignment="1">
      <alignment horizontal="center" vertical="center" wrapText="1"/>
    </xf>
    <xf numFmtId="4" fontId="27" fillId="50" borderId="12" xfId="1" applyNumberFormat="1" applyFont="1" applyFill="1" applyBorder="1" applyAlignment="1">
      <alignment horizontal="center" vertical="center" wrapText="1"/>
    </xf>
    <xf numFmtId="4" fontId="27" fillId="50" borderId="10" xfId="1" applyNumberFormat="1" applyFont="1" applyFill="1" applyBorder="1" applyAlignment="1">
      <alignment horizontal="center" vertical="center" wrapText="1"/>
    </xf>
    <xf numFmtId="3" fontId="27" fillId="50" borderId="51" xfId="1" applyNumberFormat="1" applyFont="1" applyFill="1" applyBorder="1" applyAlignment="1">
      <alignment horizontal="center" vertical="center" wrapText="1"/>
    </xf>
    <xf numFmtId="3" fontId="27" fillId="50" borderId="52" xfId="1" applyNumberFormat="1" applyFont="1" applyFill="1" applyBorder="1" applyAlignment="1">
      <alignment horizontal="center" vertical="center" wrapText="1"/>
    </xf>
    <xf numFmtId="3" fontId="17" fillId="50" borderId="9" xfId="0" applyNumberFormat="1" applyFont="1" applyFill="1" applyBorder="1" applyAlignment="1">
      <alignment horizontal="center" vertical="center"/>
    </xf>
    <xf numFmtId="3" fontId="17" fillId="50" borderId="10"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4" fontId="27" fillId="0" borderId="1" xfId="1" applyNumberFormat="1" applyFont="1" applyFill="1" applyBorder="1" applyAlignment="1">
      <alignment horizontal="center" vertical="center" wrapText="1"/>
    </xf>
    <xf numFmtId="3" fontId="27" fillId="0" borderId="1" xfId="1" applyNumberFormat="1" applyFont="1" applyFill="1" applyBorder="1" applyAlignment="1">
      <alignment horizontal="center" vertical="center" wrapText="1"/>
    </xf>
    <xf numFmtId="0" fontId="17" fillId="0" borderId="12" xfId="0" applyFont="1" applyBorder="1" applyAlignment="1">
      <alignment horizontal="center" vertical="center"/>
    </xf>
    <xf numFmtId="0" fontId="17" fillId="0" borderId="0" xfId="0" applyFont="1" applyAlignment="1">
      <alignment horizontal="justify" vertical="center"/>
    </xf>
    <xf numFmtId="0" fontId="21" fillId="0" borderId="35" xfId="0" applyFont="1" applyBorder="1" applyAlignment="1">
      <alignment horizontal="justify" vertical="center"/>
    </xf>
    <xf numFmtId="0" fontId="21" fillId="40" borderId="1" xfId="0" applyFont="1" applyFill="1" applyBorder="1" applyAlignment="1">
      <alignment horizontal="center" vertical="center" wrapText="1"/>
    </xf>
    <xf numFmtId="2" fontId="20"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1" fontId="20" fillId="0" borderId="1" xfId="0" applyNumberFormat="1" applyFont="1" applyBorder="1" applyAlignment="1">
      <alignment horizontal="center" vertical="center"/>
    </xf>
    <xf numFmtId="0" fontId="21" fillId="40" borderId="19" xfId="0" applyFont="1" applyFill="1" applyBorder="1" applyAlignment="1">
      <alignment horizontal="center" vertical="center" wrapText="1"/>
    </xf>
    <xf numFmtId="0" fontId="21" fillId="40" borderId="31" xfId="0" applyFont="1" applyFill="1" applyBorder="1" applyAlignment="1">
      <alignment horizontal="center" vertical="center" wrapText="1"/>
    </xf>
    <xf numFmtId="1" fontId="21" fillId="0" borderId="12" xfId="0" applyNumberFormat="1" applyFont="1" applyBorder="1" applyAlignment="1">
      <alignment horizontal="center" vertical="center"/>
    </xf>
    <xf numFmtId="1" fontId="21" fillId="0" borderId="8" xfId="0" applyNumberFormat="1" applyFont="1" applyBorder="1" applyAlignment="1">
      <alignment horizontal="center" vertical="center"/>
    </xf>
    <xf numFmtId="0" fontId="21" fillId="40" borderId="30" xfId="0" applyFont="1" applyFill="1" applyBorder="1" applyAlignment="1">
      <alignment horizontal="center" vertical="center" wrapText="1"/>
    </xf>
    <xf numFmtId="3" fontId="26" fillId="41" borderId="19" xfId="0" applyNumberFormat="1" applyFont="1" applyFill="1" applyBorder="1" applyAlignment="1">
      <alignment horizontal="center" vertical="center" wrapText="1"/>
    </xf>
    <xf numFmtId="3" fontId="26" fillId="41" borderId="30" xfId="0" applyNumberFormat="1" applyFont="1" applyFill="1" applyBorder="1" applyAlignment="1">
      <alignment horizontal="center" vertical="center" wrapText="1"/>
    </xf>
    <xf numFmtId="3" fontId="26" fillId="41" borderId="31" xfId="0" applyNumberFormat="1" applyFont="1" applyFill="1" applyBorder="1" applyAlignment="1">
      <alignment horizontal="center" vertical="center" wrapText="1"/>
    </xf>
    <xf numFmtId="3" fontId="40" fillId="59" borderId="19" xfId="0" applyNumberFormat="1" applyFont="1" applyFill="1" applyBorder="1" applyAlignment="1">
      <alignment horizontal="center" vertical="center" wrapText="1"/>
    </xf>
    <xf numFmtId="3" fontId="40" fillId="59" borderId="30" xfId="0" applyNumberFormat="1" applyFont="1" applyFill="1" applyBorder="1" applyAlignment="1">
      <alignment horizontal="center" vertical="center" wrapText="1"/>
    </xf>
    <xf numFmtId="3" fontId="40" fillId="59" borderId="31" xfId="0" applyNumberFormat="1" applyFont="1" applyFill="1" applyBorder="1" applyAlignment="1">
      <alignment horizontal="center" vertical="center" wrapText="1"/>
    </xf>
    <xf numFmtId="0" fontId="21" fillId="47" borderId="19" xfId="0" applyFont="1" applyFill="1" applyBorder="1" applyAlignment="1">
      <alignment horizontal="center" vertical="center"/>
    </xf>
    <xf numFmtId="0" fontId="21" fillId="47" borderId="31" xfId="0" applyFont="1" applyFill="1" applyBorder="1" applyAlignment="1">
      <alignment horizontal="center" vertical="center"/>
    </xf>
    <xf numFmtId="0" fontId="26" fillId="55" borderId="19" xfId="0" applyFont="1" applyFill="1" applyBorder="1" applyAlignment="1">
      <alignment horizontal="center" vertical="center" wrapText="1"/>
    </xf>
    <xf numFmtId="0" fontId="26" fillId="55" borderId="30" xfId="0" applyFont="1" applyFill="1" applyBorder="1" applyAlignment="1">
      <alignment horizontal="center" vertical="center" wrapText="1"/>
    </xf>
    <xf numFmtId="0" fontId="26" fillId="55" borderId="31" xfId="0" applyFont="1" applyFill="1" applyBorder="1" applyAlignment="1">
      <alignment horizontal="center" vertical="center" wrapText="1"/>
    </xf>
    <xf numFmtId="3" fontId="26" fillId="47" borderId="19" xfId="0" applyNumberFormat="1" applyFont="1" applyFill="1" applyBorder="1" applyAlignment="1">
      <alignment horizontal="center" vertical="center" wrapText="1"/>
    </xf>
    <xf numFmtId="3" fontId="26" fillId="47" borderId="31" xfId="0" applyNumberFormat="1" applyFont="1" applyFill="1" applyBorder="1" applyAlignment="1">
      <alignment horizontal="center" vertical="center" wrapText="1"/>
    </xf>
    <xf numFmtId="0" fontId="26" fillId="56" borderId="19" xfId="0" applyFont="1" applyFill="1" applyBorder="1" applyAlignment="1">
      <alignment horizontal="center" vertical="center" wrapText="1"/>
    </xf>
    <xf numFmtId="0" fontId="26" fillId="56" borderId="30" xfId="0" applyFont="1" applyFill="1" applyBorder="1" applyAlignment="1">
      <alignment horizontal="center" vertical="center" wrapText="1"/>
    </xf>
    <xf numFmtId="0" fontId="26" fillId="56" borderId="31" xfId="0" applyFont="1" applyFill="1" applyBorder="1" applyAlignment="1">
      <alignment horizontal="center" vertical="center" wrapText="1"/>
    </xf>
    <xf numFmtId="2" fontId="26" fillId="47" borderId="19" xfId="0" applyNumberFormat="1" applyFont="1" applyFill="1" applyBorder="1" applyAlignment="1">
      <alignment horizontal="center" vertical="center" wrapText="1"/>
    </xf>
    <xf numFmtId="2" fontId="26" fillId="47" borderId="31" xfId="0" applyNumberFormat="1" applyFont="1" applyFill="1" applyBorder="1" applyAlignment="1">
      <alignment horizontal="center" vertical="center" wrapText="1"/>
    </xf>
    <xf numFmtId="0" fontId="21" fillId="57" borderId="19" xfId="0" applyFont="1" applyFill="1" applyBorder="1" applyAlignment="1">
      <alignment horizontal="center" vertical="center"/>
    </xf>
    <xf numFmtId="0" fontId="21" fillId="57" borderId="30" xfId="0" applyFont="1" applyFill="1" applyBorder="1" applyAlignment="1">
      <alignment horizontal="center" vertical="center"/>
    </xf>
    <xf numFmtId="0" fontId="21" fillId="57" borderId="31" xfId="0" applyFont="1" applyFill="1" applyBorder="1" applyAlignment="1">
      <alignment horizontal="center" vertical="center"/>
    </xf>
    <xf numFmtId="0" fontId="26" fillId="46" borderId="15" xfId="0" applyFont="1" applyFill="1" applyBorder="1" applyAlignment="1">
      <alignment horizontal="center" vertical="center" wrapText="1"/>
    </xf>
    <xf numFmtId="0" fontId="26" fillId="46" borderId="32" xfId="0" applyFont="1" applyFill="1" applyBorder="1" applyAlignment="1">
      <alignment horizontal="center" vertical="center" wrapText="1"/>
    </xf>
    <xf numFmtId="165" fontId="40" fillId="58" borderId="19" xfId="0" applyNumberFormat="1" applyFont="1" applyFill="1" applyBorder="1" applyAlignment="1">
      <alignment horizontal="center" vertical="center" wrapText="1"/>
    </xf>
    <xf numFmtId="165" fontId="40" fillId="58" borderId="31" xfId="0" applyNumberFormat="1" applyFont="1" applyFill="1" applyBorder="1" applyAlignment="1">
      <alignment horizontal="center" vertical="center" wrapText="1"/>
    </xf>
    <xf numFmtId="0" fontId="40" fillId="59" borderId="19" xfId="0" applyFont="1" applyFill="1" applyBorder="1" applyAlignment="1">
      <alignment horizontal="center" vertical="center" wrapText="1"/>
    </xf>
    <xf numFmtId="0" fontId="40" fillId="59" borderId="30" xfId="0" applyFont="1" applyFill="1" applyBorder="1" applyAlignment="1">
      <alignment horizontal="center" vertical="center" wrapText="1"/>
    </xf>
    <xf numFmtId="0" fontId="40" fillId="59" borderId="31" xfId="0" applyFont="1" applyFill="1" applyBorder="1" applyAlignment="1">
      <alignment horizontal="center" vertical="center" wrapText="1"/>
    </xf>
    <xf numFmtId="165" fontId="26" fillId="47" borderId="19" xfId="0" applyNumberFormat="1" applyFont="1" applyFill="1" applyBorder="1" applyAlignment="1">
      <alignment horizontal="center" vertical="center" wrapText="1"/>
    </xf>
    <xf numFmtId="165" fontId="26" fillId="47" borderId="31" xfId="0" applyNumberFormat="1" applyFont="1" applyFill="1" applyBorder="1" applyAlignment="1">
      <alignment horizontal="center" vertical="center" wrapText="1"/>
    </xf>
    <xf numFmtId="0" fontId="40" fillId="58" borderId="19" xfId="0" applyFont="1" applyFill="1" applyBorder="1" applyAlignment="1">
      <alignment horizontal="center" vertical="center"/>
    </xf>
    <xf numFmtId="0" fontId="40" fillId="58" borderId="31" xfId="0" applyFont="1" applyFill="1" applyBorder="1" applyAlignment="1">
      <alignment horizontal="center" vertical="center"/>
    </xf>
    <xf numFmtId="3" fontId="40" fillId="58" borderId="19" xfId="0" applyNumberFormat="1" applyFont="1" applyFill="1" applyBorder="1" applyAlignment="1">
      <alignment horizontal="center" vertical="center" wrapText="1"/>
    </xf>
    <xf numFmtId="3" fontId="40" fillId="58" borderId="31" xfId="0" applyNumberFormat="1" applyFont="1" applyFill="1" applyBorder="1" applyAlignment="1">
      <alignment horizontal="center" vertical="center" wrapText="1"/>
    </xf>
    <xf numFmtId="0" fontId="21" fillId="53" borderId="1" xfId="0" applyFont="1" applyFill="1" applyBorder="1" applyAlignment="1">
      <alignment horizontal="center" vertical="center"/>
    </xf>
    <xf numFmtId="0" fontId="21" fillId="38" borderId="1" xfId="0" applyFont="1" applyFill="1" applyBorder="1" applyAlignment="1">
      <alignment horizontal="center" vertical="center"/>
    </xf>
    <xf numFmtId="0" fontId="21" fillId="39" borderId="1" xfId="0" applyFont="1" applyFill="1" applyBorder="1" applyAlignment="1">
      <alignment horizontal="center" vertical="center"/>
    </xf>
    <xf numFmtId="0" fontId="30" fillId="0" borderId="0" xfId="0" applyFont="1" applyAlignment="1">
      <alignment horizontal="center" vertical="center"/>
    </xf>
    <xf numFmtId="0" fontId="21" fillId="44" borderId="1"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justify" vertical="center" wrapText="1"/>
    </xf>
    <xf numFmtId="0" fontId="21" fillId="0" borderId="12" xfId="0" applyFont="1" applyBorder="1" applyAlignment="1">
      <alignment horizontal="center" vertical="center"/>
    </xf>
    <xf numFmtId="0" fontId="41" fillId="0" borderId="0" xfId="0" applyFont="1" applyAlignment="1">
      <alignment horizontal="center" vertical="center"/>
    </xf>
    <xf numFmtId="0" fontId="21" fillId="0" borderId="0" xfId="0" applyFont="1" applyAlignment="1">
      <alignment horizontal="center" vertical="center"/>
    </xf>
    <xf numFmtId="165" fontId="39" fillId="0" borderId="0" xfId="0" applyNumberFormat="1" applyFont="1" applyAlignment="1">
      <alignment horizontal="center" vertical="center"/>
    </xf>
    <xf numFmtId="0" fontId="42" fillId="0" borderId="40"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42" fillId="50" borderId="43" xfId="0" applyFont="1" applyFill="1" applyBorder="1" applyAlignment="1">
      <alignment horizontal="center" vertical="center" wrapText="1"/>
    </xf>
    <xf numFmtId="0" fontId="42" fillId="50" borderId="40"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2" fillId="49" borderId="43" xfId="0" applyFont="1" applyFill="1" applyBorder="1" applyAlignment="1">
      <alignment horizontal="center" vertical="center" wrapText="1"/>
    </xf>
    <xf numFmtId="0" fontId="42" fillId="49" borderId="40" xfId="0" applyFont="1" applyFill="1" applyBorder="1" applyAlignment="1">
      <alignment horizontal="center" vertical="center" wrapText="1"/>
    </xf>
    <xf numFmtId="0" fontId="42" fillId="49" borderId="41" xfId="0" applyFont="1" applyFill="1" applyBorder="1" applyAlignment="1">
      <alignment horizontal="center" vertical="center" wrapText="1"/>
    </xf>
    <xf numFmtId="0" fontId="42" fillId="51" borderId="43" xfId="0" applyFont="1" applyFill="1" applyBorder="1" applyAlignment="1">
      <alignment horizontal="center" vertical="center" wrapText="1"/>
    </xf>
    <xf numFmtId="0" fontId="42" fillId="51" borderId="40" xfId="0" applyFont="1" applyFill="1" applyBorder="1" applyAlignment="1">
      <alignment horizontal="center" vertical="center" wrapText="1"/>
    </xf>
    <xf numFmtId="0" fontId="42" fillId="51" borderId="41" xfId="0" applyFont="1" applyFill="1" applyBorder="1" applyAlignment="1">
      <alignment horizontal="center" vertical="center" wrapText="1"/>
    </xf>
    <xf numFmtId="0" fontId="42" fillId="0" borderId="43" xfId="0" applyFont="1" applyFill="1" applyBorder="1" applyAlignment="1">
      <alignment horizontal="center" vertical="center" wrapText="1"/>
    </xf>
    <xf numFmtId="0" fontId="45" fillId="42" borderId="2" xfId="0" applyFont="1" applyFill="1" applyBorder="1" applyAlignment="1">
      <alignment horizontal="center" vertical="center" wrapText="1"/>
    </xf>
    <xf numFmtId="0" fontId="45" fillId="42" borderId="4" xfId="0" applyFont="1" applyFill="1" applyBorder="1" applyAlignment="1">
      <alignment horizontal="center" vertical="center" wrapText="1"/>
    </xf>
    <xf numFmtId="0" fontId="42" fillId="0" borderId="43"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0" fontId="42" fillId="51" borderId="1" xfId="0" applyFont="1" applyFill="1" applyBorder="1" applyAlignment="1">
      <alignment horizontal="center" vertical="center" wrapText="1"/>
    </xf>
    <xf numFmtId="0" fontId="42" fillId="49"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5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50" borderId="54" xfId="0" applyFont="1" applyFill="1" applyBorder="1" applyAlignment="1">
      <alignment horizontal="center" vertical="center" wrapText="1"/>
    </xf>
    <xf numFmtId="0" fontId="37" fillId="0" borderId="0" xfId="0" applyFont="1" applyAlignment="1">
      <alignment horizontal="justify" vertical="center" wrapText="1"/>
    </xf>
    <xf numFmtId="0" fontId="37" fillId="0" borderId="0" xfId="0" applyFont="1" applyAlignment="1">
      <alignment horizontal="justify" vertical="center"/>
    </xf>
  </cellXfs>
  <cellStyles count="52">
    <cellStyle name="20% - Ênfase1" xfId="23" builtinId="30" customBuiltin="1"/>
    <cellStyle name="20% - Ênfase2" xfId="27" builtinId="34" customBuiltin="1"/>
    <cellStyle name="20% - Ênfase3" xfId="31" builtinId="38" customBuiltin="1"/>
    <cellStyle name="20% - Ênfase4" xfId="35" builtinId="42" customBuiltin="1"/>
    <cellStyle name="20% - Ênfase5" xfId="39" builtinId="46" customBuiltin="1"/>
    <cellStyle name="20% - Ênfase6" xfId="43" builtinId="50" customBuiltin="1"/>
    <cellStyle name="40% - Ênfase1" xfId="24" builtinId="31" customBuiltin="1"/>
    <cellStyle name="40% - Ênfase2" xfId="28" builtinId="35" customBuiltin="1"/>
    <cellStyle name="40% - Ênfase3" xfId="32" builtinId="39" customBuiltin="1"/>
    <cellStyle name="40% - Ênfase4" xfId="36" builtinId="43" customBuiltin="1"/>
    <cellStyle name="40% - Ênfase5" xfId="40" builtinId="47" customBuiltin="1"/>
    <cellStyle name="40% - Ênfase6" xfId="44" builtinId="51" customBuiltin="1"/>
    <cellStyle name="60% - Ênfase1" xfId="25" builtinId="32" customBuiltin="1"/>
    <cellStyle name="60% - Ênfase2" xfId="29" builtinId="36" customBuiltin="1"/>
    <cellStyle name="60% - Ênfase3" xfId="33" builtinId="40" customBuiltin="1"/>
    <cellStyle name="60% - Ênfase4" xfId="37" builtinId="44" customBuiltin="1"/>
    <cellStyle name="60% - Ênfase5" xfId="41" builtinId="48" customBuiltin="1"/>
    <cellStyle name="60% - Ênfase6" xfId="45" builtinId="52" customBuiltin="1"/>
    <cellStyle name="Bom" xfId="10" builtinId="26" customBuiltin="1"/>
    <cellStyle name="Cálculo" xfId="15" builtinId="22" customBuiltin="1"/>
    <cellStyle name="Célula de Verificação" xfId="17" builtinId="23" customBuiltin="1"/>
    <cellStyle name="Célula Vinculada" xfId="16" builtinId="24" customBuiltin="1"/>
    <cellStyle name="Ênfase1" xfId="22" builtinId="29" customBuiltin="1"/>
    <cellStyle name="Ênfase2" xfId="26" builtinId="33" customBuiltin="1"/>
    <cellStyle name="Ênfase3" xfId="30" builtinId="37" customBuiltin="1"/>
    <cellStyle name="Ênfase4" xfId="34" builtinId="41" customBuiltin="1"/>
    <cellStyle name="Ênfase5" xfId="38" builtinId="45" customBuiltin="1"/>
    <cellStyle name="Ênfase6" xfId="42" builtinId="49" customBuiltin="1"/>
    <cellStyle name="Entrada" xfId="13" builtinId="20" customBuiltin="1"/>
    <cellStyle name="Neutro" xfId="12" builtinId="28" customBuiltin="1"/>
    <cellStyle name="Normal" xfId="0" builtinId="0"/>
    <cellStyle name="Normal 2" xfId="47" xr:uid="{00000000-0005-0000-0000-000020000000}"/>
    <cellStyle name="Nota" xfId="19" builtinId="10" customBuiltin="1"/>
    <cellStyle name="Ruim" xfId="11" builtinId="27" customBuiltin="1"/>
    <cellStyle name="Saída" xfId="14" builtinId="21" customBuiltin="1"/>
    <cellStyle name="Texto de Aviso" xfId="18" builtinId="11" customBuiltin="1"/>
    <cellStyle name="Texto Explicativo" xfId="20"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9" builtinId="19" customBuiltin="1"/>
    <cellStyle name="Total" xfId="21" builtinId="25" customBuiltin="1"/>
    <cellStyle name="Vírgula" xfId="1" builtinId="3"/>
    <cellStyle name="Vírgula 2" xfId="2" xr:uid="{00000000-0005-0000-0000-00002C000000}"/>
    <cellStyle name="Vírgula 3" xfId="4" xr:uid="{00000000-0005-0000-0000-00002D000000}"/>
    <cellStyle name="Vírgula 3 2" xfId="50" xr:uid="{00000000-0005-0000-0000-00002E000000}"/>
    <cellStyle name="Vírgula 4" xfId="3" xr:uid="{00000000-0005-0000-0000-00002F000000}"/>
    <cellStyle name="Vírgula 4 2" xfId="49" xr:uid="{00000000-0005-0000-0000-000030000000}"/>
    <cellStyle name="Vírgula 5" xfId="46" xr:uid="{00000000-0005-0000-0000-000031000000}"/>
    <cellStyle name="Vírgula 5 2" xfId="51" xr:uid="{00000000-0005-0000-0000-000032000000}"/>
    <cellStyle name="Vírgula 6" xfId="48" xr:uid="{00000000-0005-0000-0000-000033000000}"/>
  </cellStyles>
  <dxfs count="55">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ill>
        <patternFill>
          <bgColor theme="9" tint="0.39994506668294322"/>
        </patternFill>
      </fill>
    </dxf>
    <dxf>
      <fill>
        <patternFill patternType="none">
          <bgColor auto="1"/>
        </patternFill>
      </fill>
    </dxf>
    <dxf>
      <fill>
        <patternFill>
          <bgColor theme="0" tint="-0.34998626667073579"/>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ela 1" pivot="0" count="4" xr9:uid="{00000000-0011-0000-FFFF-FFFF00000000}">
      <tableStyleElement type="wholeTable" dxfId="54"/>
      <tableStyleElement type="headerRow" dxfId="53"/>
      <tableStyleElement type="firstRowStripe" dxfId="52"/>
      <tableStyleElement type="secondRowStripe" dxfId="51"/>
    </tableStyle>
  </tableStyles>
  <colors>
    <mruColors>
      <color rgb="FFF7EE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M&#233;moria%20de%20C&#225;lculo%20-%20QTD%20de%20Serventes%20-%20A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TIVIDADE IN 05-2017"/>
      <sheetName val="QTD SERVENTE - ITEM 1"/>
      <sheetName val="QTD SERVENTE - ITEM 2"/>
      <sheetName val="QTD SERVENTE - ITEM 3"/>
      <sheetName val="QTD TOTAL SERVENTE CONTRATO"/>
    </sheetNames>
    <sheetDataSet>
      <sheetData sheetId="0" refreshError="1">
        <row r="3">
          <cell r="A3">
            <v>800</v>
          </cell>
          <cell r="C3">
            <v>360</v>
          </cell>
          <cell r="E3">
            <v>1500</v>
          </cell>
          <cell r="G3">
            <v>1200</v>
          </cell>
          <cell r="I3">
            <v>1000</v>
          </cell>
          <cell r="K3">
            <v>200</v>
          </cell>
        </row>
        <row r="7">
          <cell r="A7">
            <v>1800</v>
          </cell>
          <cell r="C7">
            <v>6000</v>
          </cell>
          <cell r="E7">
            <v>100000</v>
          </cell>
          <cell r="G7">
            <v>300</v>
          </cell>
          <cell r="I7">
            <v>360</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2:G95" totalsRowShown="0" headerRowDxfId="50" dataDxfId="49">
  <autoFilter ref="A2:G95" xr:uid="{00000000-0009-0000-0100-000001000000}"/>
  <tableColumns count="7">
    <tableColumn id="1" xr3:uid="{00000000-0010-0000-0000-000001000000}" name="SUBITEM" dataDxfId="48"/>
    <tableColumn id="2" xr3:uid="{00000000-0010-0000-0000-000002000000}" name="DESCRIÇÃO" dataDxfId="47"/>
    <tableColumn id="3" xr3:uid="{00000000-0010-0000-0000-000003000000}" name="REFERÊNCIA" dataDxfId="46"/>
    <tableColumn id="4" xr3:uid="{00000000-0010-0000-0000-000004000000}" name="UNID." dataDxfId="45"/>
    <tableColumn id="5" xr3:uid="{00000000-0010-0000-0000-000005000000}" name="QTD" dataDxfId="44"/>
    <tableColumn id="6" xr3:uid="{00000000-0010-0000-0000-000006000000}" name="VALOR UNITÁRIO" dataDxfId="43"/>
    <tableColumn id="7" xr3:uid="{00000000-0010-0000-0000-000007000000}" name="VALOR TOTAL" dataDxfId="42">
      <calculatedColumnFormula>Tabela1[[#This Row],[QTD]]*Tabela1[[#This Row],[VALOR UNITÁRIO]]</calculatedColumnFormula>
    </tableColumn>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3" displayName="Tabela13" ref="A100:G193" totalsRowShown="0" headerRowDxfId="41" dataDxfId="40">
  <autoFilter ref="A100:G193" xr:uid="{00000000-0009-0000-0100-000002000000}"/>
  <tableColumns count="7">
    <tableColumn id="1" xr3:uid="{00000000-0010-0000-0100-000001000000}" name="SUBITEM" dataDxfId="39"/>
    <tableColumn id="2" xr3:uid="{00000000-0010-0000-0100-000002000000}" name="DESCRIÇÃO" dataDxfId="38"/>
    <tableColumn id="3" xr3:uid="{00000000-0010-0000-0100-000003000000}" name="REFERÊNCIA" dataDxfId="37"/>
    <tableColumn id="4" xr3:uid="{00000000-0010-0000-0100-000004000000}" name="UNID." dataDxfId="36"/>
    <tableColumn id="5" xr3:uid="{00000000-0010-0000-0100-000005000000}" name="QTD" dataDxfId="35"/>
    <tableColumn id="6" xr3:uid="{00000000-0010-0000-0100-000006000000}" name="VALOR UNITÁRIO" dataDxfId="34"/>
    <tableColumn id="7" xr3:uid="{00000000-0010-0000-0100-000007000000}" name="VALOR TOTAL" dataDxfId="33">
      <calculatedColumnFormula>Tabela13[[#This Row],[QTD]]*Tabela13[[#This Row],[VALOR UNITÁRIO]]</calculatedColumnFormula>
    </tableColumn>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134" displayName="Tabela134" ref="A198:G291" totalsRowShown="0" headerRowDxfId="32" dataDxfId="31">
  <autoFilter ref="A198:G291" xr:uid="{00000000-0009-0000-0100-000003000000}"/>
  <tableColumns count="7">
    <tableColumn id="1" xr3:uid="{00000000-0010-0000-0200-000001000000}" name="ITEM" dataDxfId="30"/>
    <tableColumn id="2" xr3:uid="{00000000-0010-0000-0200-000002000000}" name="DESCRIÇÃO" dataDxfId="29"/>
    <tableColumn id="3" xr3:uid="{00000000-0010-0000-0200-000003000000}" name="REFERÊNCIA" dataDxfId="28"/>
    <tableColumn id="4" xr3:uid="{00000000-0010-0000-0200-000004000000}" name="UNID." dataDxfId="27"/>
    <tableColumn id="5" xr3:uid="{00000000-0010-0000-0200-000005000000}" name="QTD" dataDxfId="26"/>
    <tableColumn id="6" xr3:uid="{00000000-0010-0000-0200-000006000000}" name="VALOR UNITÁRIO" dataDxfId="25"/>
    <tableColumn id="7" xr3:uid="{00000000-0010-0000-0200-000007000000}" name="VALOR TOTAL" dataDxfId="24">
      <calculatedColumnFormula>Tabela134[[#This Row],[QTD]]*Tabela134[[#This Row],[VALOR UNITÁRIO]]</calculatedColumnFormula>
    </tableColumn>
  </tableColumns>
  <tableStyleInfo name="Estilo de Tabe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a4" displayName="Tabela4" ref="A2:F10" totalsRowShown="0" headerRowDxfId="23" dataDxfId="22">
  <autoFilter ref="A2:F10" xr:uid="{00000000-0009-0000-0100-000004000000}"/>
  <tableColumns count="6">
    <tableColumn id="1" xr3:uid="{00000000-0010-0000-0300-000001000000}" name="ITEM" dataDxfId="21"/>
    <tableColumn id="2" xr3:uid="{00000000-0010-0000-0300-000002000000}" name="DESCRIÇÃO" dataDxfId="20"/>
    <tableColumn id="3" xr3:uid="{00000000-0010-0000-0300-000003000000}" name="REFERÊNCIA" dataDxfId="19"/>
    <tableColumn id="4" xr3:uid="{00000000-0010-0000-0300-000004000000}" name="QTD" dataDxfId="18"/>
    <tableColumn id="5" xr3:uid="{00000000-0010-0000-0300-000005000000}" name="VALOR UNITÁRIO" dataDxfId="17"/>
    <tableColumn id="6" xr3:uid="{00000000-0010-0000-0300-000006000000}" name="VALOR TOTAL" dataDxfId="16">
      <calculatedColumnFormula>Tabela4[[#This Row],[QTD]]*Tabela4[[#This Row],[VALOR UNITÁRIO]]</calculatedColumnFormula>
    </tableColumn>
  </tableColumns>
  <tableStyleInfo name="Estilo de Tabe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46" displayName="Tabela46" ref="A19:F27" totalsRowShown="0" headerRowDxfId="15" dataDxfId="14">
  <autoFilter ref="A19:F27" xr:uid="{00000000-0009-0000-0100-000005000000}"/>
  <tableColumns count="6">
    <tableColumn id="1" xr3:uid="{00000000-0010-0000-0400-000001000000}" name="ITEM" dataDxfId="13"/>
    <tableColumn id="2" xr3:uid="{00000000-0010-0000-0400-000002000000}" name="DESCRIÇÃO" dataDxfId="12"/>
    <tableColumn id="3" xr3:uid="{00000000-0010-0000-0400-000003000000}" name="REFERÊNCIA" dataDxfId="11"/>
    <tableColumn id="4" xr3:uid="{00000000-0010-0000-0400-000004000000}" name="QTD" dataDxfId="10"/>
    <tableColumn id="5" xr3:uid="{00000000-0010-0000-0400-000005000000}" name="VALOR UNITÁRIO" dataDxfId="9"/>
    <tableColumn id="6" xr3:uid="{00000000-0010-0000-0400-000006000000}" name="VALOR TOTAL" dataDxfId="8">
      <calculatedColumnFormula>Tabela46[[#This Row],[QTD]]*Tabela46[[#This Row],[VALOR UNITÁRIO]]</calculatedColumnFormula>
    </tableColumn>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47" displayName="Tabela47" ref="A36:F44" totalsRowShown="0" headerRowDxfId="7" dataDxfId="6">
  <autoFilter ref="A36:F44" xr:uid="{00000000-0009-0000-0100-000006000000}"/>
  <tableColumns count="6">
    <tableColumn id="1" xr3:uid="{00000000-0010-0000-0500-000001000000}" name="ITEM" dataDxfId="5"/>
    <tableColumn id="2" xr3:uid="{00000000-0010-0000-0500-000002000000}" name="DESCRIÇÃO" dataDxfId="4"/>
    <tableColumn id="3" xr3:uid="{00000000-0010-0000-0500-000003000000}" name="REFERÊNCIA" dataDxfId="3"/>
    <tableColumn id="4" xr3:uid="{00000000-0010-0000-0500-000004000000}" name="QTD" dataDxfId="2"/>
    <tableColumn id="5" xr3:uid="{00000000-0010-0000-0500-000005000000}" name="VALOR UNITÁRIO" dataDxfId="1"/>
    <tableColumn id="6" xr3:uid="{00000000-0010-0000-0500-000006000000}" name="VALOR TOTAL" dataDxfId="0">
      <calculatedColumnFormula>Tabela47[[#This Row],[QTD]]*Tabela47[[#This Row],[VALOR UNITÁRIO]]</calculatedColumnFormula>
    </tableColumn>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 Id="rId4" Type="http://schemas.openxmlformats.org/officeDocument/2006/relationships/table" Target="../tables/table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12.bin"/><Relationship Id="rId4"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1"/>
  <sheetViews>
    <sheetView zoomScale="80" zoomScaleNormal="80" workbookViewId="0">
      <selection activeCell="A27" sqref="A27:C27"/>
    </sheetView>
  </sheetViews>
  <sheetFormatPr defaultRowHeight="14.25" x14ac:dyDescent="0.25"/>
  <cols>
    <col min="1" max="1" width="56.28515625" style="49" customWidth="1"/>
    <col min="2" max="2" width="9.5703125" style="1" customWidth="1"/>
    <col min="3" max="3" width="10.85546875" style="49" customWidth="1"/>
    <col min="4" max="4" width="19.85546875" style="49" customWidth="1"/>
    <col min="5" max="6" width="19.28515625" style="49" customWidth="1"/>
    <col min="7" max="16384" width="9.140625" style="49"/>
  </cols>
  <sheetData>
    <row r="2" spans="1:6" ht="45.75" customHeight="1" x14ac:dyDescent="0.25">
      <c r="A2" s="193" t="s">
        <v>0</v>
      </c>
      <c r="B2" s="193"/>
      <c r="C2" s="193"/>
      <c r="D2" s="193"/>
      <c r="E2" s="193"/>
      <c r="F2" s="193"/>
    </row>
    <row r="4" spans="1:6" ht="26.25" customHeight="1" x14ac:dyDescent="0.25">
      <c r="A4" s="191" t="s">
        <v>1</v>
      </c>
      <c r="B4" s="191"/>
      <c r="C4" s="191"/>
      <c r="D4" s="191"/>
      <c r="E4" s="191"/>
      <c r="F4" s="191"/>
    </row>
    <row r="5" spans="1:6" ht="54.75" customHeight="1" x14ac:dyDescent="0.25">
      <c r="A5" s="124" t="s">
        <v>2</v>
      </c>
      <c r="B5" s="125" t="s">
        <v>3</v>
      </c>
      <c r="C5" s="125" t="s">
        <v>4</v>
      </c>
      <c r="D5" s="125" t="s">
        <v>5</v>
      </c>
      <c r="E5" s="124" t="s">
        <v>6</v>
      </c>
      <c r="F5" s="124" t="s">
        <v>7</v>
      </c>
    </row>
    <row r="6" spans="1:6" ht="26.25" customHeight="1" x14ac:dyDescent="0.25">
      <c r="A6" s="50" t="s">
        <v>8</v>
      </c>
      <c r="B6" s="9" t="s">
        <v>9</v>
      </c>
      <c r="C6" s="97">
        <f>'QTD SERVENTE - ITEM 1'!K137</f>
        <v>98</v>
      </c>
      <c r="D6" s="52">
        <f>'Custo Servente SEG-DOM - ITEM 1'!C155</f>
        <v>5234.9351436791412</v>
      </c>
      <c r="E6" s="52">
        <f>C6*D6</f>
        <v>513023.64408055582</v>
      </c>
      <c r="F6" s="109">
        <f>E6*30</f>
        <v>15390709.322416674</v>
      </c>
    </row>
    <row r="7" spans="1:6" ht="26.25" customHeight="1" x14ac:dyDescent="0.25">
      <c r="A7" s="50" t="s">
        <v>10</v>
      </c>
      <c r="B7" s="9" t="s">
        <v>9</v>
      </c>
      <c r="C7" s="97">
        <f>'QTD TOTAL SERVENTE-ENCARREGADO'!F4</f>
        <v>3</v>
      </c>
      <c r="D7" s="52">
        <f>'Custo Encarreg SEG-DOM - ITEM 1'!C155</f>
        <v>8049.3071427489231</v>
      </c>
      <c r="E7" s="52">
        <f t="shared" ref="E7" si="0">C7*D7</f>
        <v>24147.921428246769</v>
      </c>
      <c r="F7" s="109">
        <f t="shared" ref="F7" si="1">E7*30</f>
        <v>724437.64284740307</v>
      </c>
    </row>
    <row r="8" spans="1:6" ht="26.25" customHeight="1" x14ac:dyDescent="0.25">
      <c r="A8" s="191" t="s">
        <v>11</v>
      </c>
      <c r="B8" s="191"/>
      <c r="C8" s="191"/>
      <c r="D8" s="191"/>
      <c r="E8" s="123">
        <f>SUM(E6:E7)</f>
        <v>537171.56550880254</v>
      </c>
      <c r="F8" s="123">
        <f>SUM(F6:F7)</f>
        <v>16115146.965264078</v>
      </c>
    </row>
    <row r="11" spans="1:6" ht="26.25" customHeight="1" x14ac:dyDescent="0.25">
      <c r="A11" s="191" t="s">
        <v>12</v>
      </c>
      <c r="B11" s="191"/>
      <c r="C11" s="191"/>
      <c r="D11" s="191"/>
      <c r="E11" s="191"/>
      <c r="F11" s="191"/>
    </row>
    <row r="12" spans="1:6" ht="54.75" customHeight="1" x14ac:dyDescent="0.25">
      <c r="A12" s="124" t="s">
        <v>2</v>
      </c>
      <c r="B12" s="125" t="s">
        <v>3</v>
      </c>
      <c r="C12" s="125" t="s">
        <v>4</v>
      </c>
      <c r="D12" s="125" t="s">
        <v>5</v>
      </c>
      <c r="E12" s="124" t="s">
        <v>6</v>
      </c>
      <c r="F12" s="124" t="s">
        <v>7</v>
      </c>
    </row>
    <row r="13" spans="1:6" ht="26.25" customHeight="1" x14ac:dyDescent="0.25">
      <c r="A13" s="50" t="s">
        <v>13</v>
      </c>
      <c r="B13" s="9" t="s">
        <v>9</v>
      </c>
      <c r="C13" s="97">
        <f>'QTD SERVENTE - ITEM 2'!M61</f>
        <v>66</v>
      </c>
      <c r="D13" s="52">
        <f>'Custo Servente SEG-SEX - ITEM 2'!C155</f>
        <v>4879.3372968192416</v>
      </c>
      <c r="E13" s="52">
        <f>C13*D13</f>
        <v>322036.26159006997</v>
      </c>
      <c r="F13" s="109">
        <f>E13*30</f>
        <v>9661087.847702099</v>
      </c>
    </row>
    <row r="14" spans="1:6" ht="26.25" customHeight="1" x14ac:dyDescent="0.25">
      <c r="A14" s="50" t="s">
        <v>14</v>
      </c>
      <c r="B14" s="9" t="s">
        <v>9</v>
      </c>
      <c r="C14" s="97">
        <f>'QTD TOTAL SERVENTE-ENCARREGADO'!F5</f>
        <v>2</v>
      </c>
      <c r="D14" s="52">
        <f>'Custo Encarreg SEG-SEX - ITEM 2'!C155</f>
        <v>7693.7092958890225</v>
      </c>
      <c r="E14" s="52">
        <f t="shared" ref="E14" si="2">C14*D14</f>
        <v>15387.418591778045</v>
      </c>
      <c r="F14" s="109">
        <f t="shared" ref="F14" si="3">E14*30</f>
        <v>461622.55775334133</v>
      </c>
    </row>
    <row r="15" spans="1:6" ht="26.25" customHeight="1" x14ac:dyDescent="0.25">
      <c r="A15" s="191" t="s">
        <v>15</v>
      </c>
      <c r="B15" s="191"/>
      <c r="C15" s="191"/>
      <c r="D15" s="191"/>
      <c r="E15" s="123">
        <f>SUM(E13:E14)</f>
        <v>337423.680181848</v>
      </c>
      <c r="F15" s="123">
        <f>SUM(F13:F14)</f>
        <v>10122710.40545544</v>
      </c>
    </row>
    <row r="18" spans="1:6" ht="26.25" customHeight="1" x14ac:dyDescent="0.25">
      <c r="A18" s="191" t="s">
        <v>16</v>
      </c>
      <c r="B18" s="191"/>
      <c r="C18" s="191"/>
      <c r="D18" s="191"/>
      <c r="E18" s="191"/>
      <c r="F18" s="191"/>
    </row>
    <row r="19" spans="1:6" ht="54.75" customHeight="1" x14ac:dyDescent="0.25">
      <c r="A19" s="124" t="s">
        <v>2</v>
      </c>
      <c r="B19" s="125" t="s">
        <v>3</v>
      </c>
      <c r="C19" s="125" t="s">
        <v>4</v>
      </c>
      <c r="D19" s="125" t="s">
        <v>5</v>
      </c>
      <c r="E19" s="124" t="s">
        <v>6</v>
      </c>
      <c r="F19" s="124" t="s">
        <v>7</v>
      </c>
    </row>
    <row r="20" spans="1:6" ht="26.25" customHeight="1" x14ac:dyDescent="0.25">
      <c r="A20" s="50" t="s">
        <v>17</v>
      </c>
      <c r="B20" s="9" t="s">
        <v>9</v>
      </c>
      <c r="C20" s="97">
        <f>'QTD SERVENTE - ITEM 3'!I23</f>
        <v>19</v>
      </c>
      <c r="D20" s="52">
        <f>'Custo Servente SEG-SEX - ITEM 2'!C155</f>
        <v>4879.3372968192416</v>
      </c>
      <c r="E20" s="52">
        <f>C20*D20</f>
        <v>92707.40863956559</v>
      </c>
      <c r="F20" s="109">
        <f>E20*30</f>
        <v>2781222.2591869677</v>
      </c>
    </row>
    <row r="21" spans="1:6" ht="26.25" customHeight="1" x14ac:dyDescent="0.25">
      <c r="A21" s="50" t="s">
        <v>18</v>
      </c>
      <c r="B21" s="9" t="s">
        <v>9</v>
      </c>
      <c r="C21" s="97">
        <f>'QTD SERVENTE - ITEM 3'!I24</f>
        <v>25</v>
      </c>
      <c r="D21" s="52">
        <f>'Custo Serv SEG-SEX INS - ITEM 3'!C155</f>
        <v>5479.2566176211531</v>
      </c>
      <c r="E21" s="52">
        <f>C21*D21</f>
        <v>136981.41544052883</v>
      </c>
      <c r="F21" s="109">
        <f>E21*30</f>
        <v>4109442.4632158647</v>
      </c>
    </row>
    <row r="22" spans="1:6" ht="26.25" customHeight="1" x14ac:dyDescent="0.25">
      <c r="A22" s="50" t="s">
        <v>14</v>
      </c>
      <c r="B22" s="9" t="s">
        <v>9</v>
      </c>
      <c r="C22" s="97">
        <f>'QTD TOTAL SERVENTE-ENCARREGADO'!F6</f>
        <v>1</v>
      </c>
      <c r="D22" s="52">
        <f>'Custo Encarreg SEG-SEX - ITEM 2'!C155</f>
        <v>7693.7092958890225</v>
      </c>
      <c r="E22" s="52">
        <f t="shared" ref="E22" si="4">C22*D22</f>
        <v>7693.7092958890225</v>
      </c>
      <c r="F22" s="109">
        <f t="shared" ref="F22" si="5">E22*30</f>
        <v>230811.27887667067</v>
      </c>
    </row>
    <row r="23" spans="1:6" ht="26.25" customHeight="1" x14ac:dyDescent="0.25">
      <c r="A23" s="191" t="s">
        <v>19</v>
      </c>
      <c r="B23" s="191"/>
      <c r="C23" s="191"/>
      <c r="D23" s="191"/>
      <c r="E23" s="123">
        <f>SUM(E20:E22)</f>
        <v>237382.53337598342</v>
      </c>
      <c r="F23" s="123">
        <f>SUM(F20:F22)</f>
        <v>7121476.0012795031</v>
      </c>
    </row>
    <row r="26" spans="1:6" ht="26.25" customHeight="1" x14ac:dyDescent="0.25">
      <c r="A26" s="191" t="s">
        <v>20</v>
      </c>
      <c r="B26" s="191"/>
      <c r="C26" s="191"/>
      <c r="D26" s="191"/>
      <c r="E26" s="191"/>
      <c r="F26" s="191"/>
    </row>
    <row r="27" spans="1:6" ht="35.25" customHeight="1" x14ac:dyDescent="0.25">
      <c r="A27" s="192" t="s">
        <v>2</v>
      </c>
      <c r="B27" s="192"/>
      <c r="C27" s="192"/>
      <c r="D27" s="124" t="s">
        <v>21</v>
      </c>
      <c r="E27" s="124" t="s">
        <v>22</v>
      </c>
      <c r="F27" s="124" t="s">
        <v>23</v>
      </c>
    </row>
    <row r="28" spans="1:6" ht="26.25" customHeight="1" x14ac:dyDescent="0.25">
      <c r="A28" s="190" t="s">
        <v>24</v>
      </c>
      <c r="B28" s="190"/>
      <c r="C28" s="190"/>
      <c r="D28" s="109">
        <f>E8</f>
        <v>537171.56550880254</v>
      </c>
      <c r="E28" s="109">
        <f>D28*12</f>
        <v>6446058.7861056309</v>
      </c>
      <c r="F28" s="109">
        <f>D28*30</f>
        <v>16115146.965264076</v>
      </c>
    </row>
    <row r="29" spans="1:6" ht="26.25" customHeight="1" x14ac:dyDescent="0.25">
      <c r="A29" s="190" t="s">
        <v>12</v>
      </c>
      <c r="B29" s="190"/>
      <c r="C29" s="190"/>
      <c r="D29" s="109">
        <f>E15</f>
        <v>337423.680181848</v>
      </c>
      <c r="E29" s="109">
        <f t="shared" ref="E29:E30" si="6">D29*12</f>
        <v>4049084.162182176</v>
      </c>
      <c r="F29" s="109">
        <f t="shared" ref="F29:F30" si="7">D29*30</f>
        <v>10122710.40545544</v>
      </c>
    </row>
    <row r="30" spans="1:6" ht="26.25" customHeight="1" x14ac:dyDescent="0.25">
      <c r="A30" s="190" t="s">
        <v>16</v>
      </c>
      <c r="B30" s="190"/>
      <c r="C30" s="190"/>
      <c r="D30" s="109">
        <f>E23</f>
        <v>237382.53337598342</v>
      </c>
      <c r="E30" s="109">
        <f t="shared" si="6"/>
        <v>2848590.4005118012</v>
      </c>
      <c r="F30" s="109">
        <f t="shared" si="7"/>
        <v>7121476.0012795022</v>
      </c>
    </row>
    <row r="31" spans="1:6" ht="35.25" customHeight="1" x14ac:dyDescent="0.25">
      <c r="A31" s="191" t="s">
        <v>25</v>
      </c>
      <c r="B31" s="191"/>
      <c r="C31" s="191"/>
      <c r="D31" s="123">
        <f>SUM(D28:D30)</f>
        <v>1111977.7790666339</v>
      </c>
      <c r="E31" s="123">
        <f t="shared" ref="E31:F31" si="8">SUM(E28:E30)</f>
        <v>13343733.348799609</v>
      </c>
      <c r="F31" s="126">
        <f t="shared" si="8"/>
        <v>33359333.371999018</v>
      </c>
    </row>
  </sheetData>
  <mergeCells count="13">
    <mergeCell ref="A8:D8"/>
    <mergeCell ref="A4:F4"/>
    <mergeCell ref="A2:F2"/>
    <mergeCell ref="A11:F11"/>
    <mergeCell ref="A15:D15"/>
    <mergeCell ref="A28:C28"/>
    <mergeCell ref="A29:C29"/>
    <mergeCell ref="A30:C30"/>
    <mergeCell ref="A31:C31"/>
    <mergeCell ref="A18:F18"/>
    <mergeCell ref="A23:D23"/>
    <mergeCell ref="A26:F26"/>
    <mergeCell ref="A27:C27"/>
  </mergeCells>
  <printOptions horizontalCentered="1"/>
  <pageMargins left="0.51181102362204722" right="0.51181102362204722" top="0.59055118110236227" bottom="0.59055118110236227" header="0.31496062992125984" footer="0.31496062992125984"/>
  <pageSetup paperSize="9" scale="69"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1"/>
  <sheetViews>
    <sheetView showGridLines="0" zoomScaleNormal="100" workbookViewId="0">
      <selection activeCell="B239" sqref="B239"/>
    </sheetView>
  </sheetViews>
  <sheetFormatPr defaultRowHeight="15" x14ac:dyDescent="0.2"/>
  <cols>
    <col min="1" max="1" width="12.140625" style="15" customWidth="1"/>
    <col min="2" max="2" width="72.140625" style="15" customWidth="1"/>
    <col min="3" max="3" width="23.85546875" style="15" customWidth="1"/>
    <col min="4" max="4" width="26.85546875" style="15" customWidth="1"/>
    <col min="5" max="5" width="12.7109375" style="15" customWidth="1"/>
    <col min="6" max="6" width="12" style="15" customWidth="1"/>
    <col min="7" max="7" width="15.140625" style="15" customWidth="1"/>
    <col min="8" max="16384" width="9.140625" style="15"/>
  </cols>
  <sheetData>
    <row r="1" spans="1:4" ht="23.25" x14ac:dyDescent="0.2">
      <c r="A1" s="221" t="s">
        <v>153</v>
      </c>
      <c r="B1" s="221"/>
      <c r="C1" s="221"/>
      <c r="D1" s="221"/>
    </row>
    <row r="2" spans="1:4" x14ac:dyDescent="0.2">
      <c r="A2" s="205" t="s">
        <v>27</v>
      </c>
      <c r="B2" s="205"/>
      <c r="C2" s="205"/>
      <c r="D2" s="205"/>
    </row>
    <row r="3" spans="1:4" x14ac:dyDescent="0.2">
      <c r="B3" s="25"/>
    </row>
    <row r="4" spans="1:4" x14ac:dyDescent="0.2">
      <c r="B4" s="25"/>
    </row>
    <row r="5" spans="1:4" ht="15.75" x14ac:dyDescent="0.2">
      <c r="A5" s="198" t="s">
        <v>53</v>
      </c>
      <c r="B5" s="198"/>
      <c r="C5" s="198"/>
      <c r="D5" s="198"/>
    </row>
    <row r="6" spans="1:4" ht="15.75" thickBot="1" x14ac:dyDescent="0.25"/>
    <row r="7" spans="1:4" ht="16.5" thickBot="1" x14ac:dyDescent="0.25">
      <c r="A7" s="16">
        <v>1</v>
      </c>
      <c r="B7" s="131" t="s">
        <v>54</v>
      </c>
      <c r="C7" s="223" t="s">
        <v>154</v>
      </c>
      <c r="D7" s="196"/>
    </row>
    <row r="8" spans="1:4" ht="30.75" customHeight="1" thickBot="1" x14ac:dyDescent="0.25">
      <c r="A8" s="18" t="s">
        <v>32</v>
      </c>
      <c r="B8" s="133" t="s">
        <v>56</v>
      </c>
      <c r="C8" s="222" t="s">
        <v>155</v>
      </c>
      <c r="D8" s="222"/>
    </row>
    <row r="9" spans="1:4" ht="15.75" thickBot="1" x14ac:dyDescent="0.25">
      <c r="A9" s="18" t="s">
        <v>34</v>
      </c>
      <c r="B9" s="132" t="s">
        <v>57</v>
      </c>
      <c r="C9" s="224" t="s">
        <v>156</v>
      </c>
      <c r="D9" s="225"/>
    </row>
    <row r="10" spans="1:4" ht="51" customHeight="1" thickBot="1" x14ac:dyDescent="0.25">
      <c r="A10" s="18" t="s">
        <v>37</v>
      </c>
      <c r="B10" s="132" t="s">
        <v>58</v>
      </c>
      <c r="C10" s="224" t="s">
        <v>157</v>
      </c>
      <c r="D10" s="225"/>
    </row>
    <row r="11" spans="1:4" ht="15.75" thickBot="1" x14ac:dyDescent="0.25">
      <c r="A11" s="18" t="s">
        <v>40</v>
      </c>
      <c r="B11" s="132" t="s">
        <v>59</v>
      </c>
      <c r="C11" s="224" t="s">
        <v>156</v>
      </c>
      <c r="D11" s="225"/>
    </row>
    <row r="12" spans="1:4" ht="15.75" thickBot="1" x14ac:dyDescent="0.25">
      <c r="A12" s="18" t="s">
        <v>42</v>
      </c>
      <c r="B12" s="132" t="s">
        <v>60</v>
      </c>
      <c r="C12" s="224" t="s">
        <v>156</v>
      </c>
      <c r="D12" s="225"/>
    </row>
    <row r="13" spans="1:4" ht="15.75" thickBot="1" x14ac:dyDescent="0.25">
      <c r="A13" s="18" t="s">
        <v>79</v>
      </c>
      <c r="B13" s="132" t="s">
        <v>158</v>
      </c>
      <c r="C13" s="224" t="s">
        <v>156</v>
      </c>
      <c r="D13" s="225"/>
    </row>
    <row r="14" spans="1:4" ht="15.75" thickBot="1" x14ac:dyDescent="0.25">
      <c r="A14" s="18" t="s">
        <v>61</v>
      </c>
      <c r="B14" s="132" t="s">
        <v>62</v>
      </c>
      <c r="C14" s="224" t="s">
        <v>156</v>
      </c>
      <c r="D14" s="225"/>
    </row>
    <row r="16" spans="1:4" ht="51" customHeight="1" x14ac:dyDescent="0.2">
      <c r="A16" s="209" t="s">
        <v>159</v>
      </c>
      <c r="B16" s="209"/>
      <c r="C16" s="209"/>
      <c r="D16" s="209"/>
    </row>
    <row r="17" spans="1:4" ht="24" customHeight="1" x14ac:dyDescent="0.2">
      <c r="A17" s="135"/>
      <c r="B17" s="135"/>
      <c r="C17" s="135"/>
      <c r="D17" s="135"/>
    </row>
    <row r="18" spans="1:4" ht="51" customHeight="1" x14ac:dyDescent="0.2">
      <c r="A18" s="209" t="s">
        <v>160</v>
      </c>
      <c r="B18" s="209"/>
      <c r="C18" s="209"/>
      <c r="D18" s="209"/>
    </row>
    <row r="19" spans="1:4" ht="56.25" customHeight="1" x14ac:dyDescent="0.2">
      <c r="A19" s="209" t="s">
        <v>161</v>
      </c>
      <c r="B19" s="209"/>
      <c r="C19" s="209"/>
      <c r="D19" s="209"/>
    </row>
    <row r="20" spans="1:4" ht="81" customHeight="1" x14ac:dyDescent="0.2">
      <c r="A20" s="209" t="s">
        <v>162</v>
      </c>
      <c r="B20" s="209"/>
      <c r="C20" s="209"/>
      <c r="D20" s="209"/>
    </row>
    <row r="23" spans="1:4" ht="15.75" x14ac:dyDescent="0.2">
      <c r="A23" s="198" t="s">
        <v>64</v>
      </c>
      <c r="B23" s="198"/>
      <c r="C23" s="198"/>
      <c r="D23" s="198"/>
    </row>
    <row r="24" spans="1:4" ht="15.75" x14ac:dyDescent="0.2">
      <c r="A24" s="22"/>
    </row>
    <row r="25" spans="1:4" ht="15.75" x14ac:dyDescent="0.2">
      <c r="A25" s="194" t="s">
        <v>65</v>
      </c>
      <c r="B25" s="194"/>
      <c r="C25" s="194"/>
      <c r="D25" s="194"/>
    </row>
    <row r="26" spans="1:4" ht="15.75" thickBot="1" x14ac:dyDescent="0.25"/>
    <row r="27" spans="1:4" ht="16.5" thickBot="1" x14ac:dyDescent="0.25">
      <c r="A27" s="16" t="s">
        <v>66</v>
      </c>
      <c r="B27" s="17" t="s">
        <v>67</v>
      </c>
      <c r="C27" s="17" t="s">
        <v>126</v>
      </c>
      <c r="D27" s="17" t="s">
        <v>163</v>
      </c>
    </row>
    <row r="28" spans="1:4" ht="15.75" thickBot="1" x14ac:dyDescent="0.25">
      <c r="A28" s="18" t="s">
        <v>32</v>
      </c>
      <c r="B28" s="19" t="s">
        <v>68</v>
      </c>
      <c r="C28" s="136">
        <v>8.3299999999999999E-2</v>
      </c>
      <c r="D28" s="137" t="s">
        <v>164</v>
      </c>
    </row>
    <row r="29" spans="1:4" ht="15.75" thickBot="1" x14ac:dyDescent="0.25">
      <c r="A29" s="18" t="s">
        <v>34</v>
      </c>
      <c r="B29" s="19" t="s">
        <v>69</v>
      </c>
      <c r="C29" s="136">
        <v>2.7799999999999998E-2</v>
      </c>
      <c r="D29" s="137" t="s">
        <v>165</v>
      </c>
    </row>
    <row r="31" spans="1:4" ht="39.75" customHeight="1" x14ac:dyDescent="0.2">
      <c r="A31" s="209" t="s">
        <v>166</v>
      </c>
      <c r="B31" s="209"/>
      <c r="C31" s="209"/>
      <c r="D31" s="209"/>
    </row>
    <row r="32" spans="1:4" ht="15.75" x14ac:dyDescent="0.25">
      <c r="A32" s="15" t="s">
        <v>167</v>
      </c>
    </row>
    <row r="33" spans="1:4" ht="15.75" x14ac:dyDescent="0.2">
      <c r="A33" s="216" t="s">
        <v>168</v>
      </c>
      <c r="B33" s="216"/>
      <c r="C33" s="216"/>
      <c r="D33" s="216"/>
    </row>
    <row r="34" spans="1:4" ht="15.75" x14ac:dyDescent="0.2">
      <c r="A34" s="210" t="s">
        <v>169</v>
      </c>
      <c r="B34" s="210"/>
      <c r="C34" s="210"/>
      <c r="D34" s="210"/>
    </row>
    <row r="35" spans="1:4" ht="30.75" customHeight="1" x14ac:dyDescent="0.2">
      <c r="A35" s="211" t="s">
        <v>170</v>
      </c>
      <c r="B35" s="212"/>
      <c r="C35" s="212"/>
      <c r="D35" s="213"/>
    </row>
    <row r="37" spans="1:4" ht="47.25" customHeight="1" x14ac:dyDescent="0.2">
      <c r="A37" s="209" t="s">
        <v>171</v>
      </c>
      <c r="B37" s="209"/>
      <c r="C37" s="209"/>
      <c r="D37" s="209"/>
    </row>
    <row r="38" spans="1:4" ht="30" customHeight="1" x14ac:dyDescent="0.2">
      <c r="A38" s="209" t="s">
        <v>172</v>
      </c>
      <c r="B38" s="209"/>
      <c r="C38" s="209"/>
      <c r="D38" s="209"/>
    </row>
    <row r="39" spans="1:4" ht="15.75" customHeight="1" x14ac:dyDescent="0.25">
      <c r="A39" s="15" t="s">
        <v>167</v>
      </c>
    </row>
    <row r="40" spans="1:4" ht="15.75" customHeight="1" x14ac:dyDescent="0.2">
      <c r="A40" s="216" t="s">
        <v>173</v>
      </c>
      <c r="B40" s="216"/>
      <c r="C40" s="216"/>
      <c r="D40" s="216"/>
    </row>
    <row r="41" spans="1:4" ht="15.75" customHeight="1" x14ac:dyDescent="0.2">
      <c r="A41" s="210" t="s">
        <v>169</v>
      </c>
      <c r="B41" s="210"/>
      <c r="C41" s="210"/>
      <c r="D41" s="210"/>
    </row>
    <row r="42" spans="1:4" ht="30.75" customHeight="1" x14ac:dyDescent="0.2">
      <c r="A42" s="211" t="s">
        <v>174</v>
      </c>
      <c r="B42" s="212"/>
      <c r="C42" s="212"/>
      <c r="D42" s="213"/>
    </row>
    <row r="44" spans="1:4" ht="34.5" customHeight="1" x14ac:dyDescent="0.2">
      <c r="A44" s="209" t="s">
        <v>175</v>
      </c>
      <c r="B44" s="209"/>
      <c r="C44" s="209"/>
      <c r="D44" s="209"/>
    </row>
    <row r="47" spans="1:4" ht="32.25" customHeight="1" x14ac:dyDescent="0.2">
      <c r="A47" s="197" t="s">
        <v>70</v>
      </c>
      <c r="B47" s="197"/>
      <c r="C47" s="197"/>
      <c r="D47" s="197"/>
    </row>
    <row r="48" spans="1:4" ht="15.75" thickBot="1" x14ac:dyDescent="0.25"/>
    <row r="49" spans="1:4" ht="16.5" thickBot="1" x14ac:dyDescent="0.25">
      <c r="A49" s="16" t="s">
        <v>71</v>
      </c>
      <c r="B49" s="17" t="s">
        <v>72</v>
      </c>
      <c r="C49" s="195" t="s">
        <v>73</v>
      </c>
      <c r="D49" s="196"/>
    </row>
    <row r="50" spans="1:4" ht="16.5" customHeight="1" thickBot="1" x14ac:dyDescent="0.25">
      <c r="A50" s="18" t="s">
        <v>32</v>
      </c>
      <c r="B50" s="19" t="s">
        <v>74</v>
      </c>
      <c r="C50" s="217">
        <v>0.2</v>
      </c>
      <c r="D50" s="218"/>
    </row>
    <row r="51" spans="1:4" ht="16.5" customHeight="1" thickBot="1" x14ac:dyDescent="0.25">
      <c r="A51" s="18" t="s">
        <v>34</v>
      </c>
      <c r="B51" s="19" t="s">
        <v>75</v>
      </c>
      <c r="C51" s="217">
        <v>2.5000000000000001E-2</v>
      </c>
      <c r="D51" s="218"/>
    </row>
    <row r="52" spans="1:4" ht="16.5" customHeight="1" thickBot="1" x14ac:dyDescent="0.25">
      <c r="A52" s="18" t="s">
        <v>37</v>
      </c>
      <c r="B52" s="19" t="s">
        <v>176</v>
      </c>
      <c r="C52" s="217">
        <v>0.03</v>
      </c>
      <c r="D52" s="218"/>
    </row>
    <row r="53" spans="1:4" ht="16.5" customHeight="1" thickBot="1" x14ac:dyDescent="0.25">
      <c r="A53" s="18" t="s">
        <v>40</v>
      </c>
      <c r="B53" s="19" t="s">
        <v>177</v>
      </c>
      <c r="C53" s="217">
        <v>1.4999999999999999E-2</v>
      </c>
      <c r="D53" s="218"/>
    </row>
    <row r="54" spans="1:4" ht="16.5" customHeight="1" thickBot="1" x14ac:dyDescent="0.25">
      <c r="A54" s="18" t="s">
        <v>42</v>
      </c>
      <c r="B54" s="19" t="s">
        <v>178</v>
      </c>
      <c r="C54" s="217">
        <v>0.01</v>
      </c>
      <c r="D54" s="218"/>
    </row>
    <row r="55" spans="1:4" ht="16.5" customHeight="1" thickBot="1" x14ac:dyDescent="0.25">
      <c r="A55" s="18" t="s">
        <v>79</v>
      </c>
      <c r="B55" s="19" t="s">
        <v>80</v>
      </c>
      <c r="C55" s="217">
        <v>6.0000000000000001E-3</v>
      </c>
      <c r="D55" s="218"/>
    </row>
    <row r="56" spans="1:4" ht="16.5" customHeight="1" thickBot="1" x14ac:dyDescent="0.25">
      <c r="A56" s="18" t="s">
        <v>61</v>
      </c>
      <c r="B56" s="19" t="s">
        <v>81</v>
      </c>
      <c r="C56" s="217">
        <v>2E-3</v>
      </c>
      <c r="D56" s="218"/>
    </row>
    <row r="57" spans="1:4" ht="16.5" customHeight="1" thickBot="1" x14ac:dyDescent="0.25">
      <c r="A57" s="18" t="s">
        <v>82</v>
      </c>
      <c r="B57" s="19" t="s">
        <v>83</v>
      </c>
      <c r="C57" s="217">
        <v>0.08</v>
      </c>
      <c r="D57" s="218"/>
    </row>
    <row r="58" spans="1:4" ht="16.5" thickBot="1" x14ac:dyDescent="0.25">
      <c r="A58" s="195" t="s">
        <v>84</v>
      </c>
      <c r="B58" s="196"/>
      <c r="C58" s="219">
        <f>SUM(C50:C57)</f>
        <v>0.36800000000000005</v>
      </c>
      <c r="D58" s="220"/>
    </row>
    <row r="60" spans="1:4" ht="34.5" customHeight="1" x14ac:dyDescent="0.2">
      <c r="A60" s="209" t="s">
        <v>179</v>
      </c>
      <c r="B60" s="209"/>
      <c r="C60" s="209"/>
      <c r="D60" s="209"/>
    </row>
    <row r="61" spans="1:4" ht="15.75" x14ac:dyDescent="0.25">
      <c r="A61" s="15" t="s">
        <v>180</v>
      </c>
    </row>
    <row r="62" spans="1:4" ht="15.75" x14ac:dyDescent="0.2">
      <c r="A62" s="216" t="s">
        <v>181</v>
      </c>
      <c r="B62" s="216"/>
      <c r="C62" s="216"/>
      <c r="D62" s="216"/>
    </row>
    <row r="64" spans="1:4" ht="34.5" customHeight="1" x14ac:dyDescent="0.2">
      <c r="A64" s="209" t="s">
        <v>182</v>
      </c>
      <c r="B64" s="209"/>
      <c r="C64" s="209"/>
      <c r="D64" s="209"/>
    </row>
    <row r="65" spans="1:4" ht="15.75" x14ac:dyDescent="0.25">
      <c r="A65" s="15" t="s">
        <v>180</v>
      </c>
    </row>
    <row r="66" spans="1:4" ht="15.75" x14ac:dyDescent="0.2">
      <c r="A66" s="216" t="s">
        <v>183</v>
      </c>
      <c r="B66" s="216"/>
      <c r="C66" s="216"/>
      <c r="D66" s="216"/>
    </row>
    <row r="68" spans="1:4" ht="80.25" customHeight="1" x14ac:dyDescent="0.2">
      <c r="A68" s="209" t="s">
        <v>184</v>
      </c>
      <c r="B68" s="209"/>
      <c r="C68" s="209"/>
      <c r="D68" s="209"/>
    </row>
    <row r="69" spans="1:4" ht="15.75" x14ac:dyDescent="0.25">
      <c r="A69" s="15" t="s">
        <v>180</v>
      </c>
    </row>
    <row r="70" spans="1:4" ht="15.75" x14ac:dyDescent="0.2">
      <c r="A70" s="216" t="s">
        <v>185</v>
      </c>
      <c r="B70" s="216"/>
      <c r="C70" s="216"/>
      <c r="D70" s="216"/>
    </row>
    <row r="72" spans="1:4" ht="30.75" customHeight="1" x14ac:dyDescent="0.2">
      <c r="A72" s="209" t="s">
        <v>186</v>
      </c>
      <c r="B72" s="209"/>
      <c r="C72" s="209"/>
      <c r="D72" s="209"/>
    </row>
    <row r="73" spans="1:4" ht="15.75" x14ac:dyDescent="0.25">
      <c r="A73" s="15" t="s">
        <v>180</v>
      </c>
    </row>
    <row r="74" spans="1:4" ht="15.75" x14ac:dyDescent="0.2">
      <c r="A74" s="216" t="s">
        <v>187</v>
      </c>
      <c r="B74" s="216"/>
      <c r="C74" s="216"/>
      <c r="D74" s="216"/>
    </row>
    <row r="76" spans="1:4" ht="30.75" customHeight="1" x14ac:dyDescent="0.2">
      <c r="A76" s="209" t="s">
        <v>188</v>
      </c>
      <c r="B76" s="209"/>
      <c r="C76" s="209"/>
      <c r="D76" s="209"/>
    </row>
    <row r="77" spans="1:4" ht="15.75" x14ac:dyDescent="0.25">
      <c r="A77" s="15" t="s">
        <v>180</v>
      </c>
    </row>
    <row r="78" spans="1:4" ht="15.75" x14ac:dyDescent="0.2">
      <c r="A78" s="216" t="s">
        <v>189</v>
      </c>
      <c r="B78" s="216"/>
      <c r="C78" s="216"/>
      <c r="D78" s="216"/>
    </row>
    <row r="80" spans="1:4" ht="51" customHeight="1" x14ac:dyDescent="0.2">
      <c r="A80" s="209" t="s">
        <v>190</v>
      </c>
      <c r="B80" s="209"/>
      <c r="C80" s="209"/>
      <c r="D80" s="209"/>
    </row>
    <row r="81" spans="1:4" ht="15.75" x14ac:dyDescent="0.25">
      <c r="A81" s="15" t="s">
        <v>180</v>
      </c>
    </row>
    <row r="82" spans="1:4" ht="15.75" x14ac:dyDescent="0.2">
      <c r="A82" s="216" t="s">
        <v>191</v>
      </c>
      <c r="B82" s="216"/>
      <c r="C82" s="216"/>
      <c r="D82" s="216"/>
    </row>
    <row r="83" spans="1:4" x14ac:dyDescent="0.2">
      <c r="A83" s="138"/>
      <c r="B83" s="138"/>
      <c r="C83" s="138"/>
      <c r="D83" s="138"/>
    </row>
    <row r="84" spans="1:4" ht="48.75" customHeight="1" x14ac:dyDescent="0.2">
      <c r="A84" s="209" t="s">
        <v>192</v>
      </c>
      <c r="B84" s="209"/>
      <c r="C84" s="209"/>
      <c r="D84" s="209"/>
    </row>
    <row r="85" spans="1:4" ht="15.75" x14ac:dyDescent="0.25">
      <c r="A85" s="15" t="s">
        <v>180</v>
      </c>
    </row>
    <row r="86" spans="1:4" ht="15.75" x14ac:dyDescent="0.2">
      <c r="A86" s="216" t="s">
        <v>193</v>
      </c>
      <c r="B86" s="216"/>
      <c r="C86" s="216"/>
      <c r="D86" s="216"/>
    </row>
    <row r="87" spans="1:4" x14ac:dyDescent="0.2">
      <c r="A87" s="138"/>
      <c r="B87" s="138"/>
      <c r="C87" s="138"/>
      <c r="D87" s="138"/>
    </row>
    <row r="88" spans="1:4" ht="48.75" customHeight="1" x14ac:dyDescent="0.2">
      <c r="A88" s="209" t="s">
        <v>194</v>
      </c>
      <c r="B88" s="209"/>
      <c r="C88" s="209"/>
      <c r="D88" s="209"/>
    </row>
    <row r="89" spans="1:4" ht="15.75" x14ac:dyDescent="0.25">
      <c r="A89" s="15" t="s">
        <v>180</v>
      </c>
    </row>
    <row r="90" spans="1:4" ht="15.75" x14ac:dyDescent="0.2">
      <c r="A90" s="216" t="s">
        <v>195</v>
      </c>
      <c r="B90" s="216"/>
      <c r="C90" s="216"/>
      <c r="D90" s="216"/>
    </row>
    <row r="91" spans="1:4" x14ac:dyDescent="0.2">
      <c r="A91" s="138"/>
      <c r="B91" s="138"/>
      <c r="C91" s="138"/>
      <c r="D91" s="138"/>
    </row>
    <row r="92" spans="1:4" ht="15.75" x14ac:dyDescent="0.2">
      <c r="A92" s="194" t="s">
        <v>85</v>
      </c>
      <c r="B92" s="194"/>
      <c r="C92" s="194"/>
      <c r="D92" s="194"/>
    </row>
    <row r="93" spans="1:4" ht="15.75" thickBot="1" x14ac:dyDescent="0.25"/>
    <row r="94" spans="1:4" ht="16.5" thickBot="1" x14ac:dyDescent="0.25">
      <c r="A94" s="16" t="s">
        <v>86</v>
      </c>
      <c r="B94" s="17" t="s">
        <v>87</v>
      </c>
      <c r="C94" s="195" t="s">
        <v>196</v>
      </c>
      <c r="D94" s="196"/>
    </row>
    <row r="95" spans="1:4" ht="36" customHeight="1" thickBot="1" x14ac:dyDescent="0.25">
      <c r="A95" s="18" t="s">
        <v>32</v>
      </c>
      <c r="B95" s="19" t="s">
        <v>88</v>
      </c>
      <c r="C95" s="207" t="s">
        <v>197</v>
      </c>
      <c r="D95" s="208"/>
    </row>
    <row r="96" spans="1:4" ht="36" customHeight="1" thickBot="1" x14ac:dyDescent="0.25">
      <c r="A96" s="18" t="s">
        <v>34</v>
      </c>
      <c r="B96" s="19" t="s">
        <v>89</v>
      </c>
      <c r="C96" s="207" t="s">
        <v>198</v>
      </c>
      <c r="D96" s="208"/>
    </row>
    <row r="97" spans="1:4" ht="36" customHeight="1" thickBot="1" x14ac:dyDescent="0.25">
      <c r="A97" s="18" t="s">
        <v>37</v>
      </c>
      <c r="B97" s="19" t="s">
        <v>90</v>
      </c>
      <c r="C97" s="207" t="s">
        <v>198</v>
      </c>
      <c r="D97" s="208"/>
    </row>
    <row r="98" spans="1:4" ht="36" customHeight="1" thickBot="1" x14ac:dyDescent="0.25">
      <c r="A98" s="18" t="s">
        <v>40</v>
      </c>
      <c r="B98" s="19" t="s">
        <v>91</v>
      </c>
      <c r="C98" s="207" t="s">
        <v>198</v>
      </c>
      <c r="D98" s="208"/>
    </row>
    <row r="99" spans="1:4" ht="36" customHeight="1" thickBot="1" x14ac:dyDescent="0.25">
      <c r="A99" s="18" t="s">
        <v>42</v>
      </c>
      <c r="B99" s="19" t="s">
        <v>92</v>
      </c>
      <c r="C99" s="207" t="s">
        <v>198</v>
      </c>
      <c r="D99" s="208"/>
    </row>
    <row r="101" spans="1:4" ht="144" customHeight="1" x14ac:dyDescent="0.2">
      <c r="A101" s="209" t="s">
        <v>199</v>
      </c>
      <c r="B101" s="209"/>
      <c r="C101" s="209"/>
      <c r="D101" s="209"/>
    </row>
    <row r="102" spans="1:4" ht="15.75" x14ac:dyDescent="0.2">
      <c r="A102" s="210" t="s">
        <v>169</v>
      </c>
      <c r="B102" s="210"/>
      <c r="C102" s="210"/>
      <c r="D102" s="210"/>
    </row>
    <row r="103" spans="1:4" ht="30.75" customHeight="1" x14ac:dyDescent="0.2">
      <c r="A103" s="211" t="s">
        <v>200</v>
      </c>
      <c r="B103" s="212"/>
      <c r="C103" s="212"/>
      <c r="D103" s="213"/>
    </row>
    <row r="104" spans="1:4" ht="30.75" customHeight="1" x14ac:dyDescent="0.2">
      <c r="A104" s="214" t="s">
        <v>201</v>
      </c>
      <c r="B104" s="214"/>
      <c r="C104" s="214"/>
      <c r="D104" s="214"/>
    </row>
    <row r="105" spans="1:4" ht="57.75" customHeight="1" x14ac:dyDescent="0.2">
      <c r="A105" s="209" t="s">
        <v>202</v>
      </c>
      <c r="B105" s="209"/>
      <c r="C105" s="209"/>
      <c r="D105" s="209"/>
    </row>
    <row r="106" spans="1:4" ht="96" customHeight="1" x14ac:dyDescent="0.2">
      <c r="A106" s="209" t="s">
        <v>203</v>
      </c>
      <c r="B106" s="209"/>
      <c r="C106" s="209"/>
      <c r="D106" s="209"/>
    </row>
    <row r="108" spans="1:4" ht="76.5" customHeight="1" x14ac:dyDescent="0.2">
      <c r="A108" s="209" t="s">
        <v>204</v>
      </c>
      <c r="B108" s="209"/>
      <c r="C108" s="209"/>
      <c r="D108" s="209"/>
    </row>
    <row r="109" spans="1:4" ht="15.75" x14ac:dyDescent="0.2">
      <c r="A109" s="210" t="s">
        <v>169</v>
      </c>
      <c r="B109" s="210"/>
      <c r="C109" s="210"/>
      <c r="D109" s="210"/>
    </row>
    <row r="110" spans="1:4" ht="30.75" customHeight="1" x14ac:dyDescent="0.2">
      <c r="A110" s="211" t="s">
        <v>205</v>
      </c>
      <c r="B110" s="212"/>
      <c r="C110" s="212"/>
      <c r="D110" s="213"/>
    </row>
    <row r="111" spans="1:4" x14ac:dyDescent="0.2">
      <c r="A111" s="215" t="s">
        <v>206</v>
      </c>
      <c r="B111" s="215"/>
      <c r="C111" s="215"/>
      <c r="D111" s="215"/>
    </row>
    <row r="112" spans="1:4" ht="49.5" customHeight="1" x14ac:dyDescent="0.2">
      <c r="A112" s="209" t="s">
        <v>207</v>
      </c>
      <c r="B112" s="209"/>
      <c r="C112" s="209"/>
      <c r="D112" s="209"/>
    </row>
    <row r="114" spans="1:4" ht="46.5" customHeight="1" x14ac:dyDescent="0.2">
      <c r="A114" s="209" t="s">
        <v>208</v>
      </c>
      <c r="B114" s="209"/>
      <c r="C114" s="209"/>
      <c r="D114" s="209"/>
    </row>
    <row r="116" spans="1:4" ht="46.5" customHeight="1" x14ac:dyDescent="0.2">
      <c r="A116" s="209" t="s">
        <v>209</v>
      </c>
      <c r="B116" s="209"/>
      <c r="C116" s="209"/>
      <c r="D116" s="209"/>
    </row>
    <row r="118" spans="1:4" ht="46.5" customHeight="1" x14ac:dyDescent="0.2">
      <c r="A118" s="209" t="s">
        <v>210</v>
      </c>
      <c r="B118" s="209"/>
      <c r="C118" s="209"/>
      <c r="D118" s="209"/>
    </row>
    <row r="120" spans="1:4" ht="15.75" x14ac:dyDescent="0.2">
      <c r="A120" s="198" t="s">
        <v>96</v>
      </c>
      <c r="B120" s="198"/>
      <c r="C120" s="198"/>
      <c r="D120" s="198"/>
    </row>
    <row r="121" spans="1:4" ht="15.75" thickBot="1" x14ac:dyDescent="0.25"/>
    <row r="122" spans="1:4" ht="16.5" thickBot="1" x14ac:dyDescent="0.25">
      <c r="A122" s="26">
        <v>3</v>
      </c>
      <c r="B122" s="27" t="s">
        <v>97</v>
      </c>
      <c r="C122" s="27" t="s">
        <v>126</v>
      </c>
      <c r="D122" s="17" t="s">
        <v>163</v>
      </c>
    </row>
    <row r="123" spans="1:4" ht="30.75" customHeight="1" thickBot="1" x14ac:dyDescent="0.25">
      <c r="A123" s="18" t="s">
        <v>32</v>
      </c>
      <c r="B123" s="28" t="s">
        <v>98</v>
      </c>
      <c r="C123" s="23">
        <v>2.5999999999999999E-3</v>
      </c>
      <c r="D123" s="20" t="s">
        <v>211</v>
      </c>
    </row>
    <row r="124" spans="1:4" ht="30.75" customHeight="1" thickBot="1" x14ac:dyDescent="0.25">
      <c r="A124" s="18" t="s">
        <v>34</v>
      </c>
      <c r="B124" s="28" t="s">
        <v>99</v>
      </c>
      <c r="C124" s="23">
        <v>2.0000000000000001E-4</v>
      </c>
      <c r="D124" s="20" t="s">
        <v>212</v>
      </c>
    </row>
    <row r="125" spans="1:4" ht="30.75" customHeight="1" thickBot="1" x14ac:dyDescent="0.25">
      <c r="A125" s="18" t="s">
        <v>37</v>
      </c>
      <c r="B125" s="28" t="s">
        <v>100</v>
      </c>
      <c r="C125" s="23">
        <v>1E-4</v>
      </c>
      <c r="D125" s="20" t="s">
        <v>213</v>
      </c>
    </row>
    <row r="126" spans="1:4" ht="30.75" customHeight="1" thickBot="1" x14ac:dyDescent="0.25">
      <c r="A126" s="18" t="s">
        <v>40</v>
      </c>
      <c r="B126" s="28" t="s">
        <v>101</v>
      </c>
      <c r="C126" s="23">
        <v>1.03E-2</v>
      </c>
      <c r="D126" s="20" t="s">
        <v>214</v>
      </c>
    </row>
    <row r="127" spans="1:4" ht="30.75" customHeight="1" thickBot="1" x14ac:dyDescent="0.25">
      <c r="A127" s="18" t="s">
        <v>42</v>
      </c>
      <c r="B127" s="28" t="s">
        <v>102</v>
      </c>
      <c r="C127" s="23">
        <v>3.8E-3</v>
      </c>
      <c r="D127" s="20" t="s">
        <v>215</v>
      </c>
    </row>
    <row r="128" spans="1:4" ht="30.75" customHeight="1" thickBot="1" x14ac:dyDescent="0.25">
      <c r="A128" s="18" t="s">
        <v>79</v>
      </c>
      <c r="B128" s="28" t="s">
        <v>103</v>
      </c>
      <c r="C128" s="23">
        <v>5.0000000000000001E-4</v>
      </c>
      <c r="D128" s="20" t="s">
        <v>216</v>
      </c>
    </row>
    <row r="130" spans="1:4" ht="115.5" customHeight="1" x14ac:dyDescent="0.2">
      <c r="A130" s="209" t="s">
        <v>217</v>
      </c>
      <c r="B130" s="209"/>
      <c r="C130" s="209"/>
      <c r="D130" s="209"/>
    </row>
    <row r="131" spans="1:4" x14ac:dyDescent="0.2">
      <c r="A131" s="209" t="s">
        <v>218</v>
      </c>
      <c r="B131" s="209"/>
      <c r="C131" s="209"/>
      <c r="D131" s="209"/>
    </row>
    <row r="132" spans="1:4" ht="15.75" x14ac:dyDescent="0.2">
      <c r="A132" s="216" t="s">
        <v>219</v>
      </c>
      <c r="B132" s="216"/>
      <c r="C132" s="216"/>
      <c r="D132" s="216"/>
    </row>
    <row r="133" spans="1:4" ht="15.75" x14ac:dyDescent="0.2">
      <c r="A133" s="210" t="s">
        <v>169</v>
      </c>
      <c r="B133" s="210"/>
      <c r="C133" s="210"/>
      <c r="D133" s="210"/>
    </row>
    <row r="134" spans="1:4" ht="30.75" customHeight="1" x14ac:dyDescent="0.2">
      <c r="A134" s="211" t="s">
        <v>220</v>
      </c>
      <c r="B134" s="212"/>
      <c r="C134" s="212"/>
      <c r="D134" s="213"/>
    </row>
    <row r="135" spans="1:4" ht="84.75" customHeight="1" x14ac:dyDescent="0.2">
      <c r="A135" s="209" t="s">
        <v>221</v>
      </c>
      <c r="B135" s="209"/>
      <c r="C135" s="209"/>
      <c r="D135" s="209"/>
    </row>
    <row r="137" spans="1:4" ht="81" customHeight="1" x14ac:dyDescent="0.2">
      <c r="A137" s="209" t="s">
        <v>222</v>
      </c>
      <c r="B137" s="209"/>
      <c r="C137" s="209"/>
      <c r="D137" s="209"/>
    </row>
    <row r="138" spans="1:4" x14ac:dyDescent="0.2">
      <c r="A138" s="209" t="s">
        <v>180</v>
      </c>
      <c r="B138" s="209"/>
      <c r="C138" s="209"/>
      <c r="D138" s="209"/>
    </row>
    <row r="139" spans="1:4" ht="15.75" x14ac:dyDescent="0.2">
      <c r="A139" s="216" t="s">
        <v>223</v>
      </c>
      <c r="B139" s="216"/>
      <c r="C139" s="216"/>
      <c r="D139" s="216"/>
    </row>
    <row r="140" spans="1:4" ht="15.75" x14ac:dyDescent="0.2">
      <c r="A140" s="210" t="s">
        <v>169</v>
      </c>
      <c r="B140" s="210"/>
      <c r="C140" s="210"/>
      <c r="D140" s="210"/>
    </row>
    <row r="141" spans="1:4" ht="30.75" customHeight="1" x14ac:dyDescent="0.2">
      <c r="A141" s="211" t="s">
        <v>224</v>
      </c>
      <c r="B141" s="212"/>
      <c r="C141" s="212"/>
      <c r="D141" s="213"/>
    </row>
    <row r="142" spans="1:4" ht="36" customHeight="1" x14ac:dyDescent="0.2">
      <c r="A142" s="209" t="s">
        <v>225</v>
      </c>
      <c r="B142" s="209"/>
      <c r="C142" s="209"/>
      <c r="D142" s="209"/>
    </row>
    <row r="144" spans="1:4" ht="82.5" customHeight="1" x14ac:dyDescent="0.2">
      <c r="A144" s="209" t="s">
        <v>226</v>
      </c>
      <c r="B144" s="209"/>
      <c r="C144" s="209"/>
      <c r="D144" s="209"/>
    </row>
    <row r="145" spans="1:4" x14ac:dyDescent="0.2">
      <c r="A145" s="209" t="s">
        <v>180</v>
      </c>
      <c r="B145" s="209"/>
      <c r="C145" s="209"/>
      <c r="D145" s="209"/>
    </row>
    <row r="146" spans="1:4" ht="15.75" x14ac:dyDescent="0.2">
      <c r="A146" s="216" t="s">
        <v>227</v>
      </c>
      <c r="B146" s="216"/>
      <c r="C146" s="216"/>
      <c r="D146" s="216"/>
    </row>
    <row r="147" spans="1:4" ht="15.75" x14ac:dyDescent="0.2">
      <c r="A147" s="210" t="s">
        <v>169</v>
      </c>
      <c r="B147" s="210"/>
      <c r="C147" s="210"/>
      <c r="D147" s="210"/>
    </row>
    <row r="148" spans="1:4" ht="30.75" customHeight="1" x14ac:dyDescent="0.2">
      <c r="A148" s="211" t="s">
        <v>228</v>
      </c>
      <c r="B148" s="212"/>
      <c r="C148" s="212"/>
      <c r="D148" s="213"/>
    </row>
    <row r="149" spans="1:4" ht="97.5" customHeight="1" x14ac:dyDescent="0.2">
      <c r="A149" s="209" t="s">
        <v>229</v>
      </c>
      <c r="B149" s="209"/>
      <c r="C149" s="209"/>
      <c r="D149" s="209"/>
    </row>
    <row r="151" spans="1:4" ht="111.75" customHeight="1" x14ac:dyDescent="0.2">
      <c r="A151" s="209" t="s">
        <v>230</v>
      </c>
      <c r="B151" s="209"/>
      <c r="C151" s="209"/>
      <c r="D151" s="209"/>
    </row>
    <row r="152" spans="1:4" x14ac:dyDescent="0.2">
      <c r="A152" s="209" t="s">
        <v>231</v>
      </c>
      <c r="B152" s="209"/>
      <c r="C152" s="209"/>
      <c r="D152" s="209"/>
    </row>
    <row r="153" spans="1:4" ht="15.75" x14ac:dyDescent="0.2">
      <c r="A153" s="216" t="s">
        <v>232</v>
      </c>
      <c r="B153" s="216"/>
      <c r="C153" s="216"/>
      <c r="D153" s="216"/>
    </row>
    <row r="154" spans="1:4" ht="15.75" x14ac:dyDescent="0.2">
      <c r="A154" s="210" t="s">
        <v>169</v>
      </c>
      <c r="B154" s="210"/>
      <c r="C154" s="210"/>
      <c r="D154" s="210"/>
    </row>
    <row r="155" spans="1:4" ht="30.75" customHeight="1" x14ac:dyDescent="0.2">
      <c r="A155" s="211" t="s">
        <v>233</v>
      </c>
      <c r="B155" s="212"/>
      <c r="C155" s="212"/>
      <c r="D155" s="213"/>
    </row>
    <row r="156" spans="1:4" ht="111" customHeight="1" x14ac:dyDescent="0.2">
      <c r="A156" s="209" t="s">
        <v>234</v>
      </c>
      <c r="B156" s="209"/>
      <c r="C156" s="209"/>
      <c r="D156" s="209"/>
    </row>
    <row r="158" spans="1:4" ht="50.25" customHeight="1" x14ac:dyDescent="0.2">
      <c r="A158" s="209" t="s">
        <v>235</v>
      </c>
      <c r="B158" s="209"/>
      <c r="C158" s="209"/>
      <c r="D158" s="209"/>
    </row>
    <row r="159" spans="1:4" x14ac:dyDescent="0.2">
      <c r="A159" s="209" t="s">
        <v>180</v>
      </c>
      <c r="B159" s="209"/>
      <c r="C159" s="209"/>
      <c r="D159" s="209"/>
    </row>
    <row r="160" spans="1:4" ht="15.75" x14ac:dyDescent="0.2">
      <c r="A160" s="216" t="s">
        <v>236</v>
      </c>
      <c r="B160" s="216"/>
      <c r="C160" s="216"/>
      <c r="D160" s="216"/>
    </row>
    <row r="161" spans="1:4" ht="15.75" x14ac:dyDescent="0.2">
      <c r="A161" s="210" t="s">
        <v>169</v>
      </c>
      <c r="B161" s="210"/>
      <c r="C161" s="210"/>
      <c r="D161" s="210"/>
    </row>
    <row r="162" spans="1:4" ht="30.75" customHeight="1" x14ac:dyDescent="0.2">
      <c r="A162" s="211" t="s">
        <v>237</v>
      </c>
      <c r="B162" s="212"/>
      <c r="C162" s="212"/>
      <c r="D162" s="213"/>
    </row>
    <row r="163" spans="1:4" ht="32.25" customHeight="1" x14ac:dyDescent="0.2">
      <c r="A163" s="209" t="s">
        <v>238</v>
      </c>
      <c r="B163" s="209"/>
      <c r="C163" s="209"/>
      <c r="D163" s="209"/>
    </row>
    <row r="165" spans="1:4" ht="80.25" customHeight="1" x14ac:dyDescent="0.2">
      <c r="A165" s="209" t="s">
        <v>239</v>
      </c>
      <c r="B165" s="209"/>
      <c r="C165" s="209"/>
      <c r="D165" s="209"/>
    </row>
    <row r="166" spans="1:4" x14ac:dyDescent="0.2">
      <c r="A166" s="209" t="s">
        <v>180</v>
      </c>
      <c r="B166" s="209"/>
      <c r="C166" s="209"/>
      <c r="D166" s="209"/>
    </row>
    <row r="167" spans="1:4" ht="15.75" x14ac:dyDescent="0.2">
      <c r="A167" s="216" t="s">
        <v>240</v>
      </c>
      <c r="B167" s="216"/>
      <c r="C167" s="216"/>
      <c r="D167" s="216"/>
    </row>
    <row r="168" spans="1:4" ht="15.75" x14ac:dyDescent="0.2">
      <c r="A168" s="210" t="s">
        <v>169</v>
      </c>
      <c r="B168" s="210"/>
      <c r="C168" s="210"/>
      <c r="D168" s="210"/>
    </row>
    <row r="169" spans="1:4" ht="31.5" customHeight="1" x14ac:dyDescent="0.2">
      <c r="A169" s="211" t="s">
        <v>241</v>
      </c>
      <c r="B169" s="212"/>
      <c r="C169" s="212"/>
      <c r="D169" s="213"/>
    </row>
    <row r="170" spans="1:4" ht="96" customHeight="1" x14ac:dyDescent="0.2">
      <c r="A170" s="209" t="s">
        <v>242</v>
      </c>
      <c r="B170" s="209"/>
      <c r="C170" s="209"/>
      <c r="D170" s="209"/>
    </row>
    <row r="172" spans="1:4" ht="15.75" x14ac:dyDescent="0.2">
      <c r="A172" s="198" t="s">
        <v>104</v>
      </c>
      <c r="B172" s="198"/>
      <c r="C172" s="198"/>
      <c r="D172" s="198"/>
    </row>
    <row r="174" spans="1:4" ht="15.75" x14ac:dyDescent="0.2">
      <c r="A174" s="194" t="s">
        <v>105</v>
      </c>
      <c r="B174" s="194"/>
      <c r="C174" s="194"/>
      <c r="D174" s="194"/>
    </row>
    <row r="175" spans="1:4" ht="16.5" thickBot="1" x14ac:dyDescent="0.25">
      <c r="A175" s="22"/>
    </row>
    <row r="176" spans="1:4" ht="16.5" thickBot="1" x14ac:dyDescent="0.25">
      <c r="A176" s="16" t="s">
        <v>106</v>
      </c>
      <c r="B176" s="17" t="s">
        <v>107</v>
      </c>
      <c r="C176" s="17" t="s">
        <v>126</v>
      </c>
      <c r="D176" s="17" t="s">
        <v>163</v>
      </c>
    </row>
    <row r="177" spans="1:4" ht="30.75" customHeight="1" thickBot="1" x14ac:dyDescent="0.25">
      <c r="A177" s="18" t="s">
        <v>32</v>
      </c>
      <c r="B177" s="19" t="s">
        <v>108</v>
      </c>
      <c r="C177" s="23">
        <v>8.3299999999999999E-2</v>
      </c>
      <c r="D177" s="20" t="s">
        <v>164</v>
      </c>
    </row>
    <row r="178" spans="1:4" ht="30.75" customHeight="1" thickBot="1" x14ac:dyDescent="0.25">
      <c r="A178" s="18" t="s">
        <v>34</v>
      </c>
      <c r="B178" s="19" t="s">
        <v>109</v>
      </c>
      <c r="C178" s="23">
        <v>2.2200000000000001E-2</v>
      </c>
      <c r="D178" s="20" t="s">
        <v>243</v>
      </c>
    </row>
    <row r="179" spans="1:4" ht="30.75" customHeight="1" thickBot="1" x14ac:dyDescent="0.25">
      <c r="A179" s="18" t="s">
        <v>37</v>
      </c>
      <c r="B179" s="19" t="s">
        <v>110</v>
      </c>
      <c r="C179" s="23">
        <v>4.0000000000000002E-4</v>
      </c>
      <c r="D179" s="20" t="s">
        <v>244</v>
      </c>
    </row>
    <row r="180" spans="1:4" ht="30.75" customHeight="1" thickBot="1" x14ac:dyDescent="0.25">
      <c r="A180" s="18" t="s">
        <v>40</v>
      </c>
      <c r="B180" s="19" t="s">
        <v>111</v>
      </c>
      <c r="C180" s="23">
        <v>2.0000000000000001E-4</v>
      </c>
      <c r="D180" s="20" t="s">
        <v>245</v>
      </c>
    </row>
    <row r="181" spans="1:4" ht="33" customHeight="1" thickBot="1" x14ac:dyDescent="0.25">
      <c r="A181" s="18" t="s">
        <v>42</v>
      </c>
      <c r="B181" s="19" t="s">
        <v>112</v>
      </c>
      <c r="C181" s="23">
        <v>1.4E-3</v>
      </c>
      <c r="D181" s="20" t="s">
        <v>246</v>
      </c>
    </row>
    <row r="182" spans="1:4" ht="30.75" customHeight="1" thickBot="1" x14ac:dyDescent="0.25">
      <c r="A182" s="18" t="s">
        <v>79</v>
      </c>
      <c r="B182" s="19" t="s">
        <v>62</v>
      </c>
      <c r="C182" s="23"/>
      <c r="D182" s="20"/>
    </row>
    <row r="184" spans="1:4" ht="92.25" customHeight="1" x14ac:dyDescent="0.2">
      <c r="A184" s="209" t="s">
        <v>247</v>
      </c>
      <c r="B184" s="209"/>
      <c r="C184" s="209"/>
      <c r="D184" s="209"/>
    </row>
    <row r="185" spans="1:4" x14ac:dyDescent="0.2">
      <c r="A185" s="209" t="s">
        <v>248</v>
      </c>
      <c r="B185" s="209"/>
      <c r="C185" s="209"/>
      <c r="D185" s="209"/>
    </row>
    <row r="186" spans="1:4" ht="15.75" x14ac:dyDescent="0.2">
      <c r="A186" s="216" t="s">
        <v>168</v>
      </c>
      <c r="B186" s="216"/>
      <c r="C186" s="216"/>
      <c r="D186" s="216"/>
    </row>
    <row r="187" spans="1:4" ht="15.75" x14ac:dyDescent="0.2">
      <c r="A187" s="210" t="s">
        <v>169</v>
      </c>
      <c r="B187" s="210"/>
      <c r="C187" s="210"/>
      <c r="D187" s="210"/>
    </row>
    <row r="188" spans="1:4" ht="30.75" customHeight="1" x14ac:dyDescent="0.2">
      <c r="A188" s="211" t="s">
        <v>170</v>
      </c>
      <c r="B188" s="212"/>
      <c r="C188" s="212"/>
      <c r="D188" s="213"/>
    </row>
    <row r="189" spans="1:4" ht="38.25" customHeight="1" x14ac:dyDescent="0.2">
      <c r="A189" s="209" t="s">
        <v>249</v>
      </c>
      <c r="B189" s="209"/>
      <c r="C189" s="209"/>
      <c r="D189" s="209"/>
    </row>
    <row r="191" spans="1:4" ht="93.75" customHeight="1" x14ac:dyDescent="0.2">
      <c r="A191" s="209" t="s">
        <v>250</v>
      </c>
      <c r="B191" s="209"/>
      <c r="C191" s="209"/>
      <c r="D191" s="209"/>
    </row>
    <row r="192" spans="1:4" x14ac:dyDescent="0.2">
      <c r="A192" s="209" t="s">
        <v>248</v>
      </c>
      <c r="B192" s="209"/>
      <c r="C192" s="209"/>
      <c r="D192" s="209"/>
    </row>
    <row r="193" spans="1:4" ht="15.75" x14ac:dyDescent="0.2">
      <c r="A193" s="216" t="s">
        <v>251</v>
      </c>
      <c r="B193" s="216"/>
      <c r="C193" s="216"/>
      <c r="D193" s="216"/>
    </row>
    <row r="194" spans="1:4" ht="15.75" x14ac:dyDescent="0.2">
      <c r="A194" s="210" t="s">
        <v>169</v>
      </c>
      <c r="B194" s="210"/>
      <c r="C194" s="210"/>
      <c r="D194" s="210"/>
    </row>
    <row r="195" spans="1:4" ht="30.75" customHeight="1" x14ac:dyDescent="0.2">
      <c r="A195" s="211" t="s">
        <v>252</v>
      </c>
      <c r="B195" s="212"/>
      <c r="C195" s="212"/>
      <c r="D195" s="213"/>
    </row>
    <row r="196" spans="1:4" ht="38.25" customHeight="1" x14ac:dyDescent="0.2">
      <c r="A196" s="209" t="s">
        <v>253</v>
      </c>
      <c r="B196" s="209"/>
      <c r="C196" s="209"/>
      <c r="D196" s="209"/>
    </row>
    <row r="197" spans="1:4" x14ac:dyDescent="0.2">
      <c r="A197" s="209" t="s">
        <v>254</v>
      </c>
      <c r="B197" s="209"/>
      <c r="C197" s="209"/>
      <c r="D197" s="209"/>
    </row>
    <row r="198" spans="1:4" ht="192.75" customHeight="1" x14ac:dyDescent="0.2">
      <c r="A198" s="226" t="s">
        <v>255</v>
      </c>
      <c r="B198" s="226"/>
      <c r="C198" s="226"/>
      <c r="D198" s="226"/>
    </row>
    <row r="200" spans="1:4" ht="96.75" customHeight="1" x14ac:dyDescent="0.2">
      <c r="A200" s="209" t="s">
        <v>256</v>
      </c>
      <c r="B200" s="209"/>
      <c r="C200" s="209"/>
      <c r="D200" s="209"/>
    </row>
    <row r="201" spans="1:4" x14ac:dyDescent="0.2">
      <c r="A201" s="209" t="s">
        <v>248</v>
      </c>
      <c r="B201" s="209"/>
      <c r="C201" s="209"/>
      <c r="D201" s="209"/>
    </row>
    <row r="202" spans="1:4" ht="15.75" x14ac:dyDescent="0.2">
      <c r="A202" s="216" t="s">
        <v>257</v>
      </c>
      <c r="B202" s="216"/>
      <c r="C202" s="216"/>
      <c r="D202" s="216"/>
    </row>
    <row r="203" spans="1:4" ht="15.75" x14ac:dyDescent="0.2">
      <c r="A203" s="210" t="s">
        <v>169</v>
      </c>
      <c r="B203" s="210"/>
      <c r="C203" s="210"/>
      <c r="D203" s="210"/>
    </row>
    <row r="204" spans="1:4" ht="30.75" customHeight="1" x14ac:dyDescent="0.2">
      <c r="A204" s="211" t="s">
        <v>258</v>
      </c>
      <c r="B204" s="212"/>
      <c r="C204" s="212"/>
      <c r="D204" s="213"/>
    </row>
    <row r="205" spans="1:4" ht="93.75" customHeight="1" x14ac:dyDescent="0.2">
      <c r="A205" s="209" t="s">
        <v>259</v>
      </c>
      <c r="B205" s="209"/>
      <c r="C205" s="209"/>
      <c r="D205" s="209"/>
    </row>
    <row r="207" spans="1:4" ht="155.25" customHeight="1" x14ac:dyDescent="0.2">
      <c r="A207" s="209" t="s">
        <v>260</v>
      </c>
      <c r="B207" s="209"/>
      <c r="C207" s="209"/>
      <c r="D207" s="209"/>
    </row>
    <row r="208" spans="1:4" x14ac:dyDescent="0.2">
      <c r="A208" s="209" t="s">
        <v>248</v>
      </c>
      <c r="B208" s="209"/>
      <c r="C208" s="209"/>
      <c r="D208" s="209"/>
    </row>
    <row r="209" spans="1:4" ht="15.75" x14ac:dyDescent="0.2">
      <c r="A209" s="216" t="s">
        <v>223</v>
      </c>
      <c r="B209" s="216"/>
      <c r="C209" s="216"/>
      <c r="D209" s="216"/>
    </row>
    <row r="210" spans="1:4" ht="15.75" x14ac:dyDescent="0.2">
      <c r="A210" s="210" t="s">
        <v>169</v>
      </c>
      <c r="B210" s="210"/>
      <c r="C210" s="210"/>
      <c r="D210" s="210"/>
    </row>
    <row r="211" spans="1:4" ht="30.75" customHeight="1" x14ac:dyDescent="0.2">
      <c r="A211" s="211" t="s">
        <v>261</v>
      </c>
      <c r="B211" s="212"/>
      <c r="C211" s="212"/>
      <c r="D211" s="213"/>
    </row>
    <row r="212" spans="1:4" ht="172.5" customHeight="1" x14ac:dyDescent="0.2">
      <c r="A212" s="209" t="s">
        <v>262</v>
      </c>
      <c r="B212" s="209"/>
      <c r="C212" s="209"/>
      <c r="D212" s="209"/>
    </row>
    <row r="214" spans="1:4" ht="96.75" customHeight="1" x14ac:dyDescent="0.2">
      <c r="A214" s="209" t="s">
        <v>263</v>
      </c>
      <c r="B214" s="209"/>
      <c r="C214" s="209"/>
      <c r="D214" s="209"/>
    </row>
    <row r="215" spans="1:4" x14ac:dyDescent="0.2">
      <c r="A215" s="209" t="s">
        <v>248</v>
      </c>
      <c r="B215" s="209"/>
      <c r="C215" s="209"/>
      <c r="D215" s="209"/>
    </row>
    <row r="216" spans="1:4" ht="15.75" x14ac:dyDescent="0.2">
      <c r="A216" s="216" t="s">
        <v>264</v>
      </c>
      <c r="B216" s="216"/>
      <c r="C216" s="216"/>
      <c r="D216" s="216"/>
    </row>
    <row r="217" spans="1:4" ht="15.75" x14ac:dyDescent="0.2">
      <c r="A217" s="210" t="s">
        <v>169</v>
      </c>
      <c r="B217" s="210"/>
      <c r="C217" s="210"/>
      <c r="D217" s="210"/>
    </row>
    <row r="218" spans="1:4" ht="30.75" customHeight="1" x14ac:dyDescent="0.2">
      <c r="A218" s="211" t="s">
        <v>265</v>
      </c>
      <c r="B218" s="212"/>
      <c r="C218" s="212"/>
      <c r="D218" s="213"/>
    </row>
    <row r="219" spans="1:4" ht="123.75" customHeight="1" x14ac:dyDescent="0.2">
      <c r="A219" s="209" t="s">
        <v>266</v>
      </c>
      <c r="B219" s="209"/>
      <c r="C219" s="209"/>
      <c r="D219" s="209"/>
    </row>
    <row r="221" spans="1:4" ht="15.75" x14ac:dyDescent="0.2">
      <c r="A221" s="194" t="s">
        <v>113</v>
      </c>
      <c r="B221" s="194"/>
      <c r="C221" s="194"/>
      <c r="D221" s="194"/>
    </row>
    <row r="222" spans="1:4" ht="16.5" thickBot="1" x14ac:dyDescent="0.25">
      <c r="A222" s="22"/>
    </row>
    <row r="223" spans="1:4" ht="16.5" thickBot="1" x14ac:dyDescent="0.25">
      <c r="A223" s="16" t="s">
        <v>114</v>
      </c>
      <c r="B223" s="16" t="s">
        <v>115</v>
      </c>
      <c r="C223" s="227" t="s">
        <v>267</v>
      </c>
      <c r="D223" s="227"/>
    </row>
    <row r="224" spans="1:4" ht="64.5" customHeight="1" thickBot="1" x14ac:dyDescent="0.25">
      <c r="A224" s="134" t="s">
        <v>32</v>
      </c>
      <c r="B224" s="133" t="s">
        <v>116</v>
      </c>
      <c r="C224" s="228" t="s">
        <v>268</v>
      </c>
      <c r="D224" s="228"/>
    </row>
    <row r="227" spans="1:4" ht="15.75" x14ac:dyDescent="0.2">
      <c r="A227" s="198" t="s">
        <v>119</v>
      </c>
      <c r="B227" s="198"/>
      <c r="C227" s="198"/>
      <c r="D227" s="198"/>
    </row>
    <row r="228" spans="1:4" ht="15.75" thickBot="1" x14ac:dyDescent="0.25"/>
    <row r="229" spans="1:4" ht="30.75" customHeight="1" thickBot="1" x14ac:dyDescent="0.25">
      <c r="A229" s="46">
        <v>5</v>
      </c>
      <c r="B229" s="48" t="s">
        <v>120</v>
      </c>
      <c r="C229" s="206" t="s">
        <v>267</v>
      </c>
      <c r="D229" s="206"/>
    </row>
    <row r="230" spans="1:4" ht="30.75" customHeight="1" thickBot="1" x14ac:dyDescent="0.25">
      <c r="A230" s="18" t="s">
        <v>32</v>
      </c>
      <c r="B230" s="19" t="s">
        <v>121</v>
      </c>
      <c r="C230" s="207" t="s">
        <v>269</v>
      </c>
      <c r="D230" s="208"/>
    </row>
    <row r="231" spans="1:4" ht="30.75" customHeight="1" thickBot="1" x14ac:dyDescent="0.25">
      <c r="A231" s="18" t="s">
        <v>34</v>
      </c>
      <c r="B231" s="19" t="s">
        <v>122</v>
      </c>
      <c r="C231" s="207" t="s">
        <v>269</v>
      </c>
      <c r="D231" s="208"/>
    </row>
    <row r="232" spans="1:4" ht="30.75" customHeight="1" thickBot="1" x14ac:dyDescent="0.25">
      <c r="A232" s="18" t="s">
        <v>37</v>
      </c>
      <c r="B232" s="19" t="s">
        <v>123</v>
      </c>
      <c r="C232" s="207" t="s">
        <v>270</v>
      </c>
      <c r="D232" s="208"/>
    </row>
    <row r="234" spans="1:4" ht="65.25" customHeight="1" x14ac:dyDescent="0.2">
      <c r="A234" s="209" t="s">
        <v>271</v>
      </c>
      <c r="B234" s="209"/>
      <c r="C234" s="209"/>
      <c r="D234" s="209"/>
    </row>
    <row r="235" spans="1:4" ht="126.75" customHeight="1" x14ac:dyDescent="0.2">
      <c r="A235" s="209" t="s">
        <v>272</v>
      </c>
      <c r="B235" s="209"/>
      <c r="C235" s="209"/>
      <c r="D235" s="209"/>
    </row>
    <row r="237" spans="1:4" ht="53.25" customHeight="1" x14ac:dyDescent="0.2">
      <c r="A237" s="209" t="s">
        <v>273</v>
      </c>
      <c r="B237" s="209"/>
      <c r="C237" s="209"/>
      <c r="D237" s="209"/>
    </row>
    <row r="238" spans="1:4" ht="84.75" customHeight="1" x14ac:dyDescent="0.2">
      <c r="A238" s="209" t="s">
        <v>274</v>
      </c>
      <c r="B238" s="209"/>
      <c r="C238" s="209"/>
      <c r="D238" s="209"/>
    </row>
    <row r="240" spans="1:4" ht="144" customHeight="1" x14ac:dyDescent="0.2">
      <c r="A240" s="209" t="s">
        <v>275</v>
      </c>
      <c r="B240" s="209"/>
      <c r="C240" s="209"/>
      <c r="D240" s="209"/>
    </row>
    <row r="241" spans="1:4" ht="130.5" customHeight="1" x14ac:dyDescent="0.2">
      <c r="A241" s="209" t="s">
        <v>276</v>
      </c>
      <c r="B241" s="209"/>
      <c r="C241" s="209"/>
      <c r="D241" s="209"/>
    </row>
    <row r="243" spans="1:4" ht="15.75" x14ac:dyDescent="0.2">
      <c r="A243" s="198" t="s">
        <v>124</v>
      </c>
      <c r="B243" s="198"/>
      <c r="C243" s="198"/>
      <c r="D243" s="198"/>
    </row>
    <row r="244" spans="1:4" ht="15.75" thickBot="1" x14ac:dyDescent="0.25"/>
    <row r="245" spans="1:4" ht="16.5" thickBot="1" x14ac:dyDescent="0.25">
      <c r="A245" s="16">
        <v>6</v>
      </c>
      <c r="B245" s="30" t="s">
        <v>125</v>
      </c>
      <c r="C245" s="17" t="s">
        <v>126</v>
      </c>
      <c r="D245" s="17" t="s">
        <v>163</v>
      </c>
    </row>
    <row r="246" spans="1:4" ht="75.75" thickBot="1" x14ac:dyDescent="0.25">
      <c r="A246" s="18" t="s">
        <v>32</v>
      </c>
      <c r="B246" s="19" t="s">
        <v>127</v>
      </c>
      <c r="C246" s="23">
        <v>4.7300000000000002E-2</v>
      </c>
      <c r="D246" s="20" t="s">
        <v>277</v>
      </c>
    </row>
    <row r="247" spans="1:4" ht="60.75" thickBot="1" x14ac:dyDescent="0.25">
      <c r="A247" s="18" t="s">
        <v>34</v>
      </c>
      <c r="B247" s="19" t="s">
        <v>128</v>
      </c>
      <c r="C247" s="23">
        <v>3.9E-2</v>
      </c>
      <c r="D247" s="20" t="s">
        <v>278</v>
      </c>
    </row>
    <row r="248" spans="1:4" ht="30.75" thickBot="1" x14ac:dyDescent="0.25">
      <c r="A248" s="18" t="s">
        <v>37</v>
      </c>
      <c r="B248" s="19" t="s">
        <v>129</v>
      </c>
      <c r="C248" s="23">
        <v>8.6499999999999994E-2</v>
      </c>
      <c r="D248" s="20" t="s">
        <v>279</v>
      </c>
    </row>
    <row r="249" spans="1:4" ht="30.75" customHeight="1" thickBot="1" x14ac:dyDescent="0.25">
      <c r="A249" s="18" t="s">
        <v>280</v>
      </c>
      <c r="B249" s="19" t="s">
        <v>281</v>
      </c>
      <c r="C249" s="23">
        <v>6.4999999999999997E-3</v>
      </c>
      <c r="D249" s="20" t="s">
        <v>282</v>
      </c>
    </row>
    <row r="250" spans="1:4" ht="30.75" customHeight="1" thickBot="1" x14ac:dyDescent="0.25">
      <c r="A250" s="18" t="s">
        <v>283</v>
      </c>
      <c r="B250" s="19" t="s">
        <v>284</v>
      </c>
      <c r="C250" s="23">
        <v>0.03</v>
      </c>
      <c r="D250" s="20" t="s">
        <v>285</v>
      </c>
    </row>
    <row r="251" spans="1:4" ht="30.75" customHeight="1" thickBot="1" x14ac:dyDescent="0.25">
      <c r="A251" s="18" t="s">
        <v>286</v>
      </c>
      <c r="B251" s="19" t="s">
        <v>287</v>
      </c>
      <c r="C251" s="23">
        <v>0.05</v>
      </c>
      <c r="D251" s="20" t="s">
        <v>288</v>
      </c>
    </row>
    <row r="253" spans="1:4" ht="132" customHeight="1" x14ac:dyDescent="0.2">
      <c r="A253" s="209" t="s">
        <v>289</v>
      </c>
      <c r="B253" s="209"/>
      <c r="C253" s="209"/>
      <c r="D253" s="209"/>
    </row>
    <row r="254" spans="1:4" x14ac:dyDescent="0.2">
      <c r="A254" s="209" t="s">
        <v>290</v>
      </c>
      <c r="B254" s="209"/>
      <c r="C254" s="209"/>
      <c r="D254" s="209"/>
    </row>
    <row r="255" spans="1:4" ht="15.75" x14ac:dyDescent="0.2">
      <c r="A255" s="216" t="s">
        <v>291</v>
      </c>
      <c r="B255" s="216"/>
      <c r="C255" s="216"/>
      <c r="D255" s="216"/>
    </row>
    <row r="256" spans="1:4" ht="15.75" x14ac:dyDescent="0.2">
      <c r="A256" s="210" t="s">
        <v>169</v>
      </c>
      <c r="B256" s="210"/>
      <c r="C256" s="210"/>
      <c r="D256" s="210"/>
    </row>
    <row r="257" spans="1:4" ht="30.75" customHeight="1" x14ac:dyDescent="0.2">
      <c r="A257" s="211" t="s">
        <v>292</v>
      </c>
      <c r="B257" s="212"/>
      <c r="C257" s="212"/>
      <c r="D257" s="213"/>
    </row>
    <row r="258" spans="1:4" ht="51.75" customHeight="1" x14ac:dyDescent="0.2">
      <c r="A258" s="209" t="s">
        <v>293</v>
      </c>
      <c r="B258" s="209"/>
      <c r="C258" s="209"/>
      <c r="D258" s="209"/>
    </row>
    <row r="260" spans="1:4" ht="94.5" customHeight="1" x14ac:dyDescent="0.2">
      <c r="A260" s="209" t="s">
        <v>294</v>
      </c>
      <c r="B260" s="209"/>
      <c r="C260" s="209"/>
      <c r="D260" s="209"/>
    </row>
    <row r="261" spans="1:4" x14ac:dyDescent="0.2">
      <c r="A261" s="209" t="s">
        <v>295</v>
      </c>
      <c r="B261" s="209"/>
      <c r="C261" s="209"/>
      <c r="D261" s="209"/>
    </row>
    <row r="262" spans="1:4" ht="15.75" x14ac:dyDescent="0.2">
      <c r="A262" s="216" t="s">
        <v>296</v>
      </c>
      <c r="B262" s="216"/>
      <c r="C262" s="216"/>
      <c r="D262" s="216"/>
    </row>
    <row r="263" spans="1:4" ht="15.75" x14ac:dyDescent="0.2">
      <c r="A263" s="210" t="s">
        <v>169</v>
      </c>
      <c r="B263" s="210"/>
      <c r="C263" s="210"/>
      <c r="D263" s="210"/>
    </row>
    <row r="264" spans="1:4" ht="30.75" customHeight="1" x14ac:dyDescent="0.2">
      <c r="A264" s="211" t="s">
        <v>297</v>
      </c>
      <c r="B264" s="212"/>
      <c r="C264" s="212"/>
      <c r="D264" s="213"/>
    </row>
    <row r="265" spans="1:4" ht="34.5" customHeight="1" x14ac:dyDescent="0.2">
      <c r="A265" s="209" t="s">
        <v>298</v>
      </c>
      <c r="B265" s="209"/>
      <c r="C265" s="209"/>
      <c r="D265" s="209"/>
    </row>
    <row r="267" spans="1:4" ht="123" customHeight="1" x14ac:dyDescent="0.2">
      <c r="A267" s="209" t="s">
        <v>299</v>
      </c>
      <c r="B267" s="209"/>
      <c r="C267" s="209"/>
      <c r="D267" s="209"/>
    </row>
    <row r="268" spans="1:4" x14ac:dyDescent="0.2">
      <c r="A268" s="209" t="s">
        <v>300</v>
      </c>
      <c r="B268" s="209"/>
      <c r="C268" s="209"/>
      <c r="D268" s="209"/>
    </row>
    <row r="269" spans="1:4" ht="15.75" x14ac:dyDescent="0.2">
      <c r="A269" s="216" t="s">
        <v>301</v>
      </c>
      <c r="B269" s="216"/>
      <c r="C269" s="216"/>
      <c r="D269" s="216"/>
    </row>
    <row r="270" spans="1:4" ht="15.75" x14ac:dyDescent="0.2">
      <c r="A270" s="210" t="s">
        <v>169</v>
      </c>
      <c r="B270" s="210"/>
      <c r="C270" s="210"/>
      <c r="D270" s="210"/>
    </row>
    <row r="271" spans="1:4" ht="39.75" customHeight="1" x14ac:dyDescent="0.2">
      <c r="A271" s="229" t="s">
        <v>302</v>
      </c>
      <c r="B271" s="230"/>
      <c r="C271" s="230"/>
      <c r="D271" s="231"/>
    </row>
    <row r="272" spans="1:4" ht="79.5" customHeight="1" x14ac:dyDescent="0.2">
      <c r="A272" s="209" t="s">
        <v>303</v>
      </c>
      <c r="B272" s="209"/>
      <c r="C272" s="209"/>
      <c r="D272" s="209"/>
    </row>
    <row r="274" spans="1:4" ht="79.5" customHeight="1" x14ac:dyDescent="0.2">
      <c r="A274" s="209" t="s">
        <v>304</v>
      </c>
      <c r="B274" s="209"/>
      <c r="C274" s="209"/>
      <c r="D274" s="209"/>
    </row>
    <row r="275" spans="1:4" ht="15.75" x14ac:dyDescent="0.2">
      <c r="A275" s="216" t="s">
        <v>305</v>
      </c>
      <c r="B275" s="216"/>
      <c r="C275" s="216"/>
      <c r="D275" s="216"/>
    </row>
    <row r="277" spans="1:4" ht="78.75" customHeight="1" x14ac:dyDescent="0.2">
      <c r="A277" s="209" t="s">
        <v>306</v>
      </c>
      <c r="B277" s="209"/>
      <c r="C277" s="209"/>
      <c r="D277" s="209"/>
    </row>
    <row r="278" spans="1:4" ht="15.75" x14ac:dyDescent="0.2">
      <c r="A278" s="216" t="s">
        <v>307</v>
      </c>
      <c r="B278" s="216"/>
      <c r="C278" s="216"/>
      <c r="D278" s="216"/>
    </row>
    <row r="280" spans="1:4" ht="82.5" customHeight="1" x14ac:dyDescent="0.2">
      <c r="A280" s="209" t="s">
        <v>308</v>
      </c>
      <c r="B280" s="209"/>
      <c r="C280" s="209"/>
      <c r="D280" s="209"/>
    </row>
    <row r="281" spans="1:4" ht="15.75" x14ac:dyDescent="0.2">
      <c r="A281" s="216" t="s">
        <v>309</v>
      </c>
      <c r="B281" s="216"/>
      <c r="C281" s="216"/>
      <c r="D281" s="216"/>
    </row>
  </sheetData>
  <mergeCells count="186">
    <mergeCell ref="A280:D280"/>
    <mergeCell ref="A281:D281"/>
    <mergeCell ref="A268:D268"/>
    <mergeCell ref="A269:D269"/>
    <mergeCell ref="A270:D270"/>
    <mergeCell ref="A271:D271"/>
    <mergeCell ref="A272:D272"/>
    <mergeCell ref="A274:D274"/>
    <mergeCell ref="A275:D275"/>
    <mergeCell ref="A277:D277"/>
    <mergeCell ref="A278:D278"/>
    <mergeCell ref="A257:D257"/>
    <mergeCell ref="A258:D258"/>
    <mergeCell ref="A260:D260"/>
    <mergeCell ref="A261:D261"/>
    <mergeCell ref="A262:D262"/>
    <mergeCell ref="A263:D263"/>
    <mergeCell ref="A264:D264"/>
    <mergeCell ref="A265:D265"/>
    <mergeCell ref="A267:D267"/>
    <mergeCell ref="A237:D237"/>
    <mergeCell ref="A238:D238"/>
    <mergeCell ref="A240:D240"/>
    <mergeCell ref="A241:D241"/>
    <mergeCell ref="A243:D243"/>
    <mergeCell ref="A253:D253"/>
    <mergeCell ref="A254:D254"/>
    <mergeCell ref="A255:D255"/>
    <mergeCell ref="A256:D256"/>
    <mergeCell ref="A227:D227"/>
    <mergeCell ref="A218:D218"/>
    <mergeCell ref="A219:D219"/>
    <mergeCell ref="A221:D221"/>
    <mergeCell ref="C223:D223"/>
    <mergeCell ref="C224:D224"/>
    <mergeCell ref="A212:D212"/>
    <mergeCell ref="A214:D214"/>
    <mergeCell ref="A215:D215"/>
    <mergeCell ref="A216:D216"/>
    <mergeCell ref="A217:D217"/>
    <mergeCell ref="A207:D207"/>
    <mergeCell ref="A208:D208"/>
    <mergeCell ref="A209:D209"/>
    <mergeCell ref="A210:D210"/>
    <mergeCell ref="A211:D211"/>
    <mergeCell ref="A201:D201"/>
    <mergeCell ref="A202:D202"/>
    <mergeCell ref="A203:D203"/>
    <mergeCell ref="A204:D204"/>
    <mergeCell ref="A205:D205"/>
    <mergeCell ref="A195:D195"/>
    <mergeCell ref="A196:D196"/>
    <mergeCell ref="A197:D197"/>
    <mergeCell ref="A198:D198"/>
    <mergeCell ref="A200:D200"/>
    <mergeCell ref="A189:D189"/>
    <mergeCell ref="A191:D191"/>
    <mergeCell ref="A192:D192"/>
    <mergeCell ref="A193:D193"/>
    <mergeCell ref="A194:D194"/>
    <mergeCell ref="A185:D185"/>
    <mergeCell ref="A186:D186"/>
    <mergeCell ref="A187:D187"/>
    <mergeCell ref="A188:D188"/>
    <mergeCell ref="A168:D168"/>
    <mergeCell ref="A169:D169"/>
    <mergeCell ref="A170:D170"/>
    <mergeCell ref="A172:D172"/>
    <mergeCell ref="A174:D174"/>
    <mergeCell ref="A165:D165"/>
    <mergeCell ref="A166:D166"/>
    <mergeCell ref="A167:D167"/>
    <mergeCell ref="A156:D156"/>
    <mergeCell ref="A158:D158"/>
    <mergeCell ref="A159:D159"/>
    <mergeCell ref="A160:D160"/>
    <mergeCell ref="A161:D161"/>
    <mergeCell ref="A184:D184"/>
    <mergeCell ref="A154:D154"/>
    <mergeCell ref="A155:D155"/>
    <mergeCell ref="A145:D145"/>
    <mergeCell ref="A146:D146"/>
    <mergeCell ref="A147:D147"/>
    <mergeCell ref="A148:D148"/>
    <mergeCell ref="A149:D149"/>
    <mergeCell ref="A162:D162"/>
    <mergeCell ref="A163:D163"/>
    <mergeCell ref="A134:D134"/>
    <mergeCell ref="A131:D131"/>
    <mergeCell ref="A135:D135"/>
    <mergeCell ref="A137:D137"/>
    <mergeCell ref="A138:D138"/>
    <mergeCell ref="A151:D151"/>
    <mergeCell ref="A152:D152"/>
    <mergeCell ref="A153:D153"/>
    <mergeCell ref="A139:D139"/>
    <mergeCell ref="A1:D1"/>
    <mergeCell ref="A2:D2"/>
    <mergeCell ref="A130:D130"/>
    <mergeCell ref="A132:D132"/>
    <mergeCell ref="A133:D133"/>
    <mergeCell ref="C8:D8"/>
    <mergeCell ref="C7:D7"/>
    <mergeCell ref="C10:D10"/>
    <mergeCell ref="C9:D9"/>
    <mergeCell ref="C11:D11"/>
    <mergeCell ref="C12:D12"/>
    <mergeCell ref="C13:D13"/>
    <mergeCell ref="C14:D14"/>
    <mergeCell ref="A34:D34"/>
    <mergeCell ref="A35:D35"/>
    <mergeCell ref="A37:D37"/>
    <mergeCell ref="A38:D38"/>
    <mergeCell ref="C97:D97"/>
    <mergeCell ref="C98:D98"/>
    <mergeCell ref="C99:D99"/>
    <mergeCell ref="A101:D101"/>
    <mergeCell ref="A47:D47"/>
    <mergeCell ref="A58:B58"/>
    <mergeCell ref="A5:D5"/>
    <mergeCell ref="A23:D23"/>
    <mergeCell ref="A25:D25"/>
    <mergeCell ref="A31:D31"/>
    <mergeCell ref="A33:D33"/>
    <mergeCell ref="A16:D16"/>
    <mergeCell ref="A18:D18"/>
    <mergeCell ref="A19:D19"/>
    <mergeCell ref="A20:D20"/>
    <mergeCell ref="C54:D54"/>
    <mergeCell ref="A40:D40"/>
    <mergeCell ref="A41:D41"/>
    <mergeCell ref="A42:D42"/>
    <mergeCell ref="A44:D44"/>
    <mergeCell ref="C49:D49"/>
    <mergeCell ref="C50:D50"/>
    <mergeCell ref="C51:D51"/>
    <mergeCell ref="C52:D52"/>
    <mergeCell ref="C53:D53"/>
    <mergeCell ref="A74:D74"/>
    <mergeCell ref="C55:D55"/>
    <mergeCell ref="C56:D56"/>
    <mergeCell ref="C57:D57"/>
    <mergeCell ref="C58:D58"/>
    <mergeCell ref="A60:D60"/>
    <mergeCell ref="A62:D62"/>
    <mergeCell ref="A64:D64"/>
    <mergeCell ref="A66:D66"/>
    <mergeCell ref="A68:D68"/>
    <mergeCell ref="A70:D70"/>
    <mergeCell ref="A72:D72"/>
    <mergeCell ref="C96:D96"/>
    <mergeCell ref="A76:D76"/>
    <mergeCell ref="A78:D78"/>
    <mergeCell ref="A80:D80"/>
    <mergeCell ref="A82:D82"/>
    <mergeCell ref="A84:D84"/>
    <mergeCell ref="A86:D86"/>
    <mergeCell ref="A88:D88"/>
    <mergeCell ref="A90:D90"/>
    <mergeCell ref="A92:D92"/>
    <mergeCell ref="C94:D94"/>
    <mergeCell ref="C95:D95"/>
    <mergeCell ref="C229:D229"/>
    <mergeCell ref="C230:D230"/>
    <mergeCell ref="C231:D231"/>
    <mergeCell ref="C232:D232"/>
    <mergeCell ref="A234:D234"/>
    <mergeCell ref="A235:D235"/>
    <mergeCell ref="A102:D102"/>
    <mergeCell ref="A103:D103"/>
    <mergeCell ref="A104:D104"/>
    <mergeCell ref="A105:D105"/>
    <mergeCell ref="A108:D108"/>
    <mergeCell ref="A118:D118"/>
    <mergeCell ref="A120:D120"/>
    <mergeCell ref="A110:D110"/>
    <mergeCell ref="A106:D106"/>
    <mergeCell ref="A111:D111"/>
    <mergeCell ref="A112:D112"/>
    <mergeCell ref="A114:D114"/>
    <mergeCell ref="A116:D116"/>
    <mergeCell ref="A109:D109"/>
    <mergeCell ref="A140:D140"/>
    <mergeCell ref="A141:D141"/>
    <mergeCell ref="A142:D142"/>
    <mergeCell ref="A144:D144"/>
  </mergeCells>
  <printOptions horizontalCentered="1"/>
  <pageMargins left="0.51181102362204722" right="0.51181102362204722" top="0.59055118110236227" bottom="0.39370078740157483" header="0.31496062992125984" footer="0.31496062992125984"/>
  <pageSetup paperSize="9" scale="69" fitToHeight="0" orientation="portrait" horizontalDpi="300" verticalDpi="300" r:id="rId1"/>
  <headerFooter>
    <oddHeader>&amp;C&amp;"Arial,Negrito"&amp;14&amp;UMEMÓRIA DE CÁLCULO - CUSTO TRABALHADOR</oddHeader>
  </headerFooter>
  <rowBreaks count="3" manualBreakCount="3">
    <brk id="46" max="16383" man="1"/>
    <brk id="91" max="16383" man="1"/>
    <brk id="11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10"/>
  <sheetViews>
    <sheetView topLeftCell="A119" zoomScaleNormal="100" workbookViewId="0">
      <selection activeCell="I251" sqref="I251"/>
    </sheetView>
  </sheetViews>
  <sheetFormatPr defaultRowHeight="14.25" x14ac:dyDescent="0.25"/>
  <cols>
    <col min="1" max="1" width="11.5703125" style="1" customWidth="1"/>
    <col min="2" max="2" width="40.7109375" style="1" customWidth="1"/>
    <col min="3" max="3" width="16.5703125" style="1" customWidth="1"/>
    <col min="4" max="5" width="9.7109375" style="1" customWidth="1"/>
    <col min="6" max="6" width="21.140625" style="1" customWidth="1"/>
    <col min="7" max="7" width="23.28515625" style="1" customWidth="1"/>
    <col min="8" max="16384" width="9.140625" style="1"/>
  </cols>
  <sheetData>
    <row r="1" spans="1:7" ht="25.5" customHeight="1" x14ac:dyDescent="0.25">
      <c r="A1" s="232" t="s">
        <v>310</v>
      </c>
      <c r="B1" s="232"/>
      <c r="C1" s="232"/>
      <c r="D1" s="232"/>
      <c r="E1" s="232"/>
      <c r="F1" s="232"/>
      <c r="G1" s="232"/>
    </row>
    <row r="2" spans="1:7" ht="25.5" customHeight="1" x14ac:dyDescent="0.25">
      <c r="A2" s="2" t="s">
        <v>311</v>
      </c>
      <c r="B2" s="2" t="s">
        <v>2</v>
      </c>
      <c r="C2" s="2" t="s">
        <v>312</v>
      </c>
      <c r="D2" s="2" t="s">
        <v>313</v>
      </c>
      <c r="E2" s="2" t="s">
        <v>4</v>
      </c>
      <c r="F2" s="3" t="s">
        <v>5</v>
      </c>
      <c r="G2" s="3" t="s">
        <v>314</v>
      </c>
    </row>
    <row r="3" spans="1:7" ht="15.75" customHeight="1" x14ac:dyDescent="0.25">
      <c r="A3" s="1">
        <v>1</v>
      </c>
      <c r="B3" s="4" t="s">
        <v>315</v>
      </c>
      <c r="C3" s="1" t="s">
        <v>316</v>
      </c>
      <c r="D3" s="1" t="s">
        <v>317</v>
      </c>
      <c r="E3" s="7">
        <v>4</v>
      </c>
      <c r="F3" s="5">
        <v>4.99</v>
      </c>
      <c r="G3" s="5">
        <f>Tabela1[[#This Row],[QTD]]*Tabela1[[#This Row],[VALOR UNITÁRIO]]</f>
        <v>19.96</v>
      </c>
    </row>
    <row r="4" spans="1:7" ht="15.75" customHeight="1" x14ac:dyDescent="0.25">
      <c r="A4" s="1">
        <v>2</v>
      </c>
      <c r="B4" s="4" t="s">
        <v>318</v>
      </c>
      <c r="C4" s="1" t="s">
        <v>319</v>
      </c>
      <c r="D4" s="1" t="s">
        <v>317</v>
      </c>
      <c r="E4" s="7">
        <v>428</v>
      </c>
      <c r="F4" s="5">
        <v>1.99</v>
      </c>
      <c r="G4" s="5">
        <f>Tabela1[[#This Row],[QTD]]*Tabela1[[#This Row],[VALOR UNITÁRIO]]</f>
        <v>851.72</v>
      </c>
    </row>
    <row r="5" spans="1:7" ht="15.75" customHeight="1" x14ac:dyDescent="0.25">
      <c r="A5" s="1">
        <v>3</v>
      </c>
      <c r="B5" s="4" t="s">
        <v>320</v>
      </c>
      <c r="C5" s="1" t="s">
        <v>321</v>
      </c>
      <c r="D5" s="1" t="s">
        <v>317</v>
      </c>
      <c r="E5" s="7">
        <v>187</v>
      </c>
      <c r="F5" s="5">
        <v>8.49</v>
      </c>
      <c r="G5" s="5">
        <f>Tabela1[[#This Row],[QTD]]*Tabela1[[#This Row],[VALOR UNITÁRIO]]</f>
        <v>1587.63</v>
      </c>
    </row>
    <row r="6" spans="1:7" ht="28.5" x14ac:dyDescent="0.25">
      <c r="A6" s="1">
        <v>4</v>
      </c>
      <c r="B6" s="4" t="s">
        <v>322</v>
      </c>
      <c r="C6" s="1" t="s">
        <v>323</v>
      </c>
      <c r="D6" s="1" t="s">
        <v>324</v>
      </c>
      <c r="E6" s="7">
        <v>23</v>
      </c>
      <c r="F6" s="5">
        <v>32.450000000000003</v>
      </c>
      <c r="G6" s="5">
        <f>Tabela1[[#This Row],[QTD]]*Tabela1[[#This Row],[VALOR UNITÁRIO]]</f>
        <v>746.35</v>
      </c>
    </row>
    <row r="7" spans="1:7" ht="15.75" customHeight="1" x14ac:dyDescent="0.25">
      <c r="A7" s="1">
        <v>5</v>
      </c>
      <c r="B7" s="4" t="s">
        <v>325</v>
      </c>
      <c r="C7" s="1" t="s">
        <v>326</v>
      </c>
      <c r="D7" s="1" t="s">
        <v>3</v>
      </c>
      <c r="E7" s="7">
        <v>92</v>
      </c>
      <c r="F7" s="5">
        <v>9.26</v>
      </c>
      <c r="G7" s="5">
        <f>Tabela1[[#This Row],[QTD]]*Tabela1[[#This Row],[VALOR UNITÁRIO]]</f>
        <v>851.92</v>
      </c>
    </row>
    <row r="8" spans="1:7" ht="15.75" customHeight="1" x14ac:dyDescent="0.25">
      <c r="A8" s="1">
        <v>6</v>
      </c>
      <c r="B8" s="4" t="s">
        <v>327</v>
      </c>
      <c r="C8" s="1" t="s">
        <v>328</v>
      </c>
      <c r="D8" s="1" t="s">
        <v>3</v>
      </c>
      <c r="E8" s="7">
        <v>6</v>
      </c>
      <c r="F8" s="5">
        <v>24.95</v>
      </c>
      <c r="G8" s="5">
        <f>Tabela1[[#This Row],[QTD]]*Tabela1[[#This Row],[VALOR UNITÁRIO]]</f>
        <v>149.69999999999999</v>
      </c>
    </row>
    <row r="9" spans="1:7" ht="15.75" customHeight="1" x14ac:dyDescent="0.25">
      <c r="A9" s="1">
        <v>7</v>
      </c>
      <c r="B9" s="4" t="s">
        <v>329</v>
      </c>
      <c r="C9" s="1" t="s">
        <v>330</v>
      </c>
      <c r="D9" s="1" t="s">
        <v>3</v>
      </c>
      <c r="E9" s="7">
        <v>7</v>
      </c>
      <c r="F9" s="5">
        <v>13.99</v>
      </c>
      <c r="G9" s="5">
        <f>Tabela1[[#This Row],[QTD]]*Tabela1[[#This Row],[VALOR UNITÁRIO]]</f>
        <v>97.93</v>
      </c>
    </row>
    <row r="10" spans="1:7" ht="15.75" customHeight="1" x14ac:dyDescent="0.25">
      <c r="A10" s="1">
        <v>8</v>
      </c>
      <c r="B10" s="4" t="s">
        <v>331</v>
      </c>
      <c r="C10" s="1" t="s">
        <v>330</v>
      </c>
      <c r="D10" s="1" t="s">
        <v>3</v>
      </c>
      <c r="E10" s="7">
        <v>7</v>
      </c>
      <c r="F10" s="5">
        <v>6.99</v>
      </c>
      <c r="G10" s="5">
        <f>Tabela1[[#This Row],[QTD]]*Tabela1[[#This Row],[VALOR UNITÁRIO]]</f>
        <v>48.93</v>
      </c>
    </row>
    <row r="11" spans="1:7" x14ac:dyDescent="0.25">
      <c r="A11" s="1">
        <v>9</v>
      </c>
      <c r="B11" s="4" t="s">
        <v>332</v>
      </c>
      <c r="C11" s="1" t="s">
        <v>333</v>
      </c>
      <c r="D11" s="1" t="s">
        <v>334</v>
      </c>
      <c r="E11" s="7">
        <v>3</v>
      </c>
      <c r="F11" s="5">
        <v>46.14</v>
      </c>
      <c r="G11" s="5">
        <f>Tabela1[[#This Row],[QTD]]*Tabela1[[#This Row],[VALOR UNITÁRIO]]</f>
        <v>138.42000000000002</v>
      </c>
    </row>
    <row r="12" spans="1:7" ht="28.5" x14ac:dyDescent="0.25">
      <c r="A12" s="1">
        <v>10</v>
      </c>
      <c r="B12" s="4" t="s">
        <v>335</v>
      </c>
      <c r="C12" s="1" t="s">
        <v>328</v>
      </c>
      <c r="D12" s="1" t="s">
        <v>3</v>
      </c>
      <c r="E12" s="7">
        <v>1</v>
      </c>
      <c r="F12" s="5">
        <v>27</v>
      </c>
      <c r="G12" s="5">
        <f>Tabela1[[#This Row],[QTD]]*Tabela1[[#This Row],[VALOR UNITÁRIO]]</f>
        <v>27</v>
      </c>
    </row>
    <row r="13" spans="1:7" ht="15.75" customHeight="1" x14ac:dyDescent="0.25">
      <c r="A13" s="1">
        <v>11</v>
      </c>
      <c r="B13" s="155" t="s">
        <v>336</v>
      </c>
      <c r="C13" s="1" t="s">
        <v>337</v>
      </c>
      <c r="D13" s="1" t="s">
        <v>3</v>
      </c>
      <c r="E13" s="7">
        <v>1</v>
      </c>
      <c r="F13" s="5">
        <v>19.899999999999999</v>
      </c>
      <c r="G13" s="5">
        <f>Tabela1[[#This Row],[QTD]]*Tabela1[[#This Row],[VALOR UNITÁRIO]]</f>
        <v>19.899999999999999</v>
      </c>
    </row>
    <row r="14" spans="1:7" ht="28.5" x14ac:dyDescent="0.25">
      <c r="A14" s="1">
        <v>12</v>
      </c>
      <c r="B14" s="155" t="s">
        <v>338</v>
      </c>
      <c r="C14" s="1" t="s">
        <v>339</v>
      </c>
      <c r="D14" s="1" t="s">
        <v>334</v>
      </c>
      <c r="E14" s="7">
        <v>30</v>
      </c>
      <c r="F14" s="5">
        <v>34.9</v>
      </c>
      <c r="G14" s="5">
        <f>Tabela1[[#This Row],[QTD]]*Tabela1[[#This Row],[VALOR UNITÁRIO]]</f>
        <v>1047</v>
      </c>
    </row>
    <row r="15" spans="1:7" ht="28.5" x14ac:dyDescent="0.25">
      <c r="A15" s="1">
        <v>13</v>
      </c>
      <c r="B15" s="4" t="s">
        <v>340</v>
      </c>
      <c r="C15" s="1" t="s">
        <v>337</v>
      </c>
      <c r="D15" s="1" t="s">
        <v>324</v>
      </c>
      <c r="E15" s="7">
        <v>16</v>
      </c>
      <c r="F15" s="5">
        <v>37.07</v>
      </c>
      <c r="G15" s="5">
        <f>Tabela1[[#This Row],[QTD]]*Tabela1[[#This Row],[VALOR UNITÁRIO]]</f>
        <v>593.12</v>
      </c>
    </row>
    <row r="16" spans="1:7" ht="28.5" x14ac:dyDescent="0.25">
      <c r="A16" s="1">
        <v>14</v>
      </c>
      <c r="B16" s="4" t="s">
        <v>341</v>
      </c>
      <c r="C16" s="1" t="s">
        <v>337</v>
      </c>
      <c r="D16" s="1" t="s">
        <v>324</v>
      </c>
      <c r="E16" s="7">
        <v>3</v>
      </c>
      <c r="F16" s="5">
        <v>65.989999999999995</v>
      </c>
      <c r="G16" s="5">
        <f>Tabela1[[#This Row],[QTD]]*Tabela1[[#This Row],[VALOR UNITÁRIO]]</f>
        <v>197.96999999999997</v>
      </c>
    </row>
    <row r="17" spans="1:7" ht="15.75" customHeight="1" x14ac:dyDescent="0.25">
      <c r="A17" s="1">
        <v>15</v>
      </c>
      <c r="B17" s="4" t="s">
        <v>342</v>
      </c>
      <c r="C17" s="1" t="s">
        <v>343</v>
      </c>
      <c r="D17" s="1" t="s">
        <v>317</v>
      </c>
      <c r="E17" s="7">
        <v>6</v>
      </c>
      <c r="F17" s="5">
        <v>12.76</v>
      </c>
      <c r="G17" s="5">
        <f>Tabela1[[#This Row],[QTD]]*Tabela1[[#This Row],[VALOR UNITÁRIO]]</f>
        <v>76.56</v>
      </c>
    </row>
    <row r="18" spans="1:7" ht="15.75" customHeight="1" x14ac:dyDescent="0.25">
      <c r="A18" s="1">
        <v>16</v>
      </c>
      <c r="B18" s="4" t="s">
        <v>344</v>
      </c>
      <c r="C18" s="1" t="s">
        <v>345</v>
      </c>
      <c r="D18" s="1" t="s">
        <v>3</v>
      </c>
      <c r="E18" s="7">
        <v>3</v>
      </c>
      <c r="F18" s="5">
        <v>2.48</v>
      </c>
      <c r="G18" s="5">
        <f>Tabela1[[#This Row],[QTD]]*Tabela1[[#This Row],[VALOR UNITÁRIO]]</f>
        <v>7.4399999999999995</v>
      </c>
    </row>
    <row r="19" spans="1:7" ht="15.75" customHeight="1" x14ac:dyDescent="0.25">
      <c r="A19" s="1">
        <v>17</v>
      </c>
      <c r="B19" s="4" t="s">
        <v>346</v>
      </c>
      <c r="C19" s="1" t="s">
        <v>345</v>
      </c>
      <c r="D19" s="1" t="s">
        <v>3</v>
      </c>
      <c r="E19" s="7">
        <v>3</v>
      </c>
      <c r="F19" s="5">
        <v>4.6399999999999997</v>
      </c>
      <c r="G19" s="5">
        <f>Tabela1[[#This Row],[QTD]]*Tabela1[[#This Row],[VALOR UNITÁRIO]]</f>
        <v>13.919999999999998</v>
      </c>
    </row>
    <row r="20" spans="1:7" ht="28.5" x14ac:dyDescent="0.25">
      <c r="A20" s="1">
        <v>18</v>
      </c>
      <c r="B20" s="4" t="s">
        <v>347</v>
      </c>
      <c r="C20" s="1" t="s">
        <v>337</v>
      </c>
      <c r="D20" s="1" t="s">
        <v>324</v>
      </c>
      <c r="E20" s="7">
        <v>13</v>
      </c>
      <c r="F20" s="5">
        <v>30</v>
      </c>
      <c r="G20" s="5">
        <f>Tabela1[[#This Row],[QTD]]*Tabela1[[#This Row],[VALOR UNITÁRIO]]</f>
        <v>390</v>
      </c>
    </row>
    <row r="21" spans="1:7" ht="15.75" customHeight="1" x14ac:dyDescent="0.25">
      <c r="A21" s="1">
        <v>19</v>
      </c>
      <c r="B21" s="155" t="s">
        <v>348</v>
      </c>
      <c r="C21" s="1" t="s">
        <v>349</v>
      </c>
      <c r="D21" s="1" t="s">
        <v>3</v>
      </c>
      <c r="E21" s="7">
        <v>155</v>
      </c>
      <c r="F21" s="5">
        <v>0.94</v>
      </c>
      <c r="G21" s="5">
        <f>Tabela1[[#This Row],[QTD]]*Tabela1[[#This Row],[VALOR UNITÁRIO]]</f>
        <v>145.69999999999999</v>
      </c>
    </row>
    <row r="22" spans="1:7" ht="15.75" customHeight="1" x14ac:dyDescent="0.25">
      <c r="A22" s="1">
        <v>20</v>
      </c>
      <c r="B22" s="155" t="s">
        <v>350</v>
      </c>
      <c r="C22" s="1" t="s">
        <v>321</v>
      </c>
      <c r="D22" s="1" t="s">
        <v>3</v>
      </c>
      <c r="E22" s="7">
        <v>125</v>
      </c>
      <c r="F22" s="5">
        <v>2.9</v>
      </c>
      <c r="G22" s="5">
        <f>Tabela1[[#This Row],[QTD]]*Tabela1[[#This Row],[VALOR UNITÁRIO]]</f>
        <v>362.5</v>
      </c>
    </row>
    <row r="23" spans="1:7" ht="42.75" x14ac:dyDescent="0.25">
      <c r="A23" s="1">
        <v>21</v>
      </c>
      <c r="B23" s="4" t="s">
        <v>351</v>
      </c>
      <c r="C23" s="1" t="s">
        <v>337</v>
      </c>
      <c r="D23" s="1" t="s">
        <v>324</v>
      </c>
      <c r="E23" s="7">
        <v>3</v>
      </c>
      <c r="F23" s="5">
        <v>33.9</v>
      </c>
      <c r="G23" s="5">
        <f>Tabela1[[#This Row],[QTD]]*Tabela1[[#This Row],[VALOR UNITÁRIO]]</f>
        <v>101.69999999999999</v>
      </c>
    </row>
    <row r="24" spans="1:7" ht="15.75" customHeight="1" x14ac:dyDescent="0.25">
      <c r="A24" s="1">
        <v>22</v>
      </c>
      <c r="B24" s="4" t="s">
        <v>352</v>
      </c>
      <c r="C24" s="1" t="s">
        <v>353</v>
      </c>
      <c r="D24" s="1" t="s">
        <v>3</v>
      </c>
      <c r="E24" s="7">
        <v>3</v>
      </c>
      <c r="F24" s="5">
        <v>22.95</v>
      </c>
      <c r="G24" s="5">
        <f>Tabela1[[#This Row],[QTD]]*Tabela1[[#This Row],[VALOR UNITÁRIO]]</f>
        <v>68.849999999999994</v>
      </c>
    </row>
    <row r="25" spans="1:7" ht="15.75" customHeight="1" x14ac:dyDescent="0.25">
      <c r="A25" s="1">
        <v>23</v>
      </c>
      <c r="B25" s="155" t="s">
        <v>354</v>
      </c>
      <c r="C25" s="1" t="s">
        <v>353</v>
      </c>
      <c r="D25" s="1" t="s">
        <v>3</v>
      </c>
      <c r="E25" s="7">
        <v>3</v>
      </c>
      <c r="F25" s="5">
        <v>27.02</v>
      </c>
      <c r="G25" s="5">
        <f>Tabela1[[#This Row],[QTD]]*Tabela1[[#This Row],[VALOR UNITÁRIO]]</f>
        <v>81.06</v>
      </c>
    </row>
    <row r="26" spans="1:7" ht="15.75" customHeight="1" x14ac:dyDescent="0.25">
      <c r="A26" s="1">
        <v>24</v>
      </c>
      <c r="B26" s="4" t="s">
        <v>355</v>
      </c>
      <c r="C26" s="1" t="s">
        <v>353</v>
      </c>
      <c r="D26" s="1" t="s">
        <v>3</v>
      </c>
      <c r="E26" s="7">
        <v>3</v>
      </c>
      <c r="F26" s="5">
        <v>23.89</v>
      </c>
      <c r="G26" s="5">
        <f>Tabela1[[#This Row],[QTD]]*Tabela1[[#This Row],[VALOR UNITÁRIO]]</f>
        <v>71.67</v>
      </c>
    </row>
    <row r="27" spans="1:7" ht="15.75" customHeight="1" x14ac:dyDescent="0.25">
      <c r="A27" s="1">
        <v>25</v>
      </c>
      <c r="B27" s="4" t="s">
        <v>356</v>
      </c>
      <c r="C27" s="1" t="s">
        <v>353</v>
      </c>
      <c r="D27" s="1" t="s">
        <v>3</v>
      </c>
      <c r="E27" s="7">
        <v>3</v>
      </c>
      <c r="F27" s="5">
        <v>33.85</v>
      </c>
      <c r="G27" s="5">
        <f>Tabela1[[#This Row],[QTD]]*Tabela1[[#This Row],[VALOR UNITÁRIO]]</f>
        <v>101.55000000000001</v>
      </c>
    </row>
    <row r="28" spans="1:7" ht="15.75" customHeight="1" x14ac:dyDescent="0.25">
      <c r="A28" s="1">
        <v>26</v>
      </c>
      <c r="B28" s="4" t="s">
        <v>357</v>
      </c>
      <c r="C28" s="1" t="s">
        <v>353</v>
      </c>
      <c r="D28" s="1" t="s">
        <v>3</v>
      </c>
      <c r="E28" s="7">
        <v>3</v>
      </c>
      <c r="F28" s="5">
        <v>41.28</v>
      </c>
      <c r="G28" s="5">
        <f>Tabela1[[#This Row],[QTD]]*Tabela1[[#This Row],[VALOR UNITÁRIO]]</f>
        <v>123.84</v>
      </c>
    </row>
    <row r="29" spans="1:7" ht="15.75" customHeight="1" x14ac:dyDescent="0.25">
      <c r="A29" s="1">
        <v>27</v>
      </c>
      <c r="B29" s="4" t="s">
        <v>358</v>
      </c>
      <c r="C29" s="1" t="s">
        <v>333</v>
      </c>
      <c r="D29" s="1" t="s">
        <v>3</v>
      </c>
      <c r="E29" s="7">
        <v>3</v>
      </c>
      <c r="F29" s="5">
        <v>50</v>
      </c>
      <c r="G29" s="5">
        <f>Tabela1[[#This Row],[QTD]]*Tabela1[[#This Row],[VALOR UNITÁRIO]]</f>
        <v>150</v>
      </c>
    </row>
    <row r="30" spans="1:7" ht="15.75" customHeight="1" x14ac:dyDescent="0.25">
      <c r="A30" s="1">
        <v>28</v>
      </c>
      <c r="B30" s="4" t="s">
        <v>359</v>
      </c>
      <c r="C30" s="1" t="s">
        <v>360</v>
      </c>
      <c r="D30" s="1" t="s">
        <v>3</v>
      </c>
      <c r="E30" s="7">
        <v>3</v>
      </c>
      <c r="F30" s="5">
        <v>13.78</v>
      </c>
      <c r="G30" s="5">
        <f>Tabela1[[#This Row],[QTD]]*Tabela1[[#This Row],[VALOR UNITÁRIO]]</f>
        <v>41.339999999999996</v>
      </c>
    </row>
    <row r="31" spans="1:7" ht="15.75" customHeight="1" x14ac:dyDescent="0.25">
      <c r="A31" s="1">
        <v>29</v>
      </c>
      <c r="B31" s="4" t="s">
        <v>361</v>
      </c>
      <c r="C31" s="1" t="s">
        <v>362</v>
      </c>
      <c r="D31" s="1" t="s">
        <v>3</v>
      </c>
      <c r="E31" s="7">
        <v>23</v>
      </c>
      <c r="F31" s="5">
        <v>4.9000000000000004</v>
      </c>
      <c r="G31" s="5">
        <f>Tabela1[[#This Row],[QTD]]*Tabela1[[#This Row],[VALOR UNITÁRIO]]</f>
        <v>112.7</v>
      </c>
    </row>
    <row r="32" spans="1:7" ht="15.75" customHeight="1" x14ac:dyDescent="0.25">
      <c r="A32" s="1">
        <v>30</v>
      </c>
      <c r="B32" s="4" t="s">
        <v>363</v>
      </c>
      <c r="C32" s="1" t="s">
        <v>362</v>
      </c>
      <c r="D32" s="1" t="s">
        <v>3</v>
      </c>
      <c r="E32" s="7">
        <v>4</v>
      </c>
      <c r="F32" s="5">
        <v>3.9</v>
      </c>
      <c r="G32" s="5">
        <f>Tabela1[[#This Row],[QTD]]*Tabela1[[#This Row],[VALOR UNITÁRIO]]</f>
        <v>15.6</v>
      </c>
    </row>
    <row r="33" spans="1:7" ht="15.75" customHeight="1" x14ac:dyDescent="0.25">
      <c r="A33" s="1">
        <v>31</v>
      </c>
      <c r="B33" s="4" t="s">
        <v>364</v>
      </c>
      <c r="C33" s="1" t="s">
        <v>365</v>
      </c>
      <c r="D33" s="1" t="s">
        <v>3</v>
      </c>
      <c r="E33" s="7">
        <v>3</v>
      </c>
      <c r="F33" s="5">
        <v>4.5</v>
      </c>
      <c r="G33" s="5">
        <f>Tabela1[[#This Row],[QTD]]*Tabela1[[#This Row],[VALOR UNITÁRIO]]</f>
        <v>13.5</v>
      </c>
    </row>
    <row r="34" spans="1:7" ht="15.75" customHeight="1" x14ac:dyDescent="0.25">
      <c r="A34" s="1">
        <v>32</v>
      </c>
      <c r="B34" s="4" t="s">
        <v>366</v>
      </c>
      <c r="C34" s="1" t="s">
        <v>367</v>
      </c>
      <c r="D34" s="1" t="s">
        <v>3</v>
      </c>
      <c r="E34" s="7">
        <v>3</v>
      </c>
      <c r="F34" s="5">
        <v>21.9</v>
      </c>
      <c r="G34" s="5">
        <f>Tabela1[[#This Row],[QTD]]*Tabela1[[#This Row],[VALOR UNITÁRIO]]</f>
        <v>65.699999999999989</v>
      </c>
    </row>
    <row r="35" spans="1:7" ht="15.75" customHeight="1" x14ac:dyDescent="0.25">
      <c r="A35" s="1">
        <v>33</v>
      </c>
      <c r="B35" s="4" t="s">
        <v>368</v>
      </c>
      <c r="C35" s="1" t="s">
        <v>365</v>
      </c>
      <c r="D35" s="1" t="s">
        <v>3</v>
      </c>
      <c r="E35" s="7">
        <v>6</v>
      </c>
      <c r="F35" s="5">
        <v>15.73</v>
      </c>
      <c r="G35" s="5">
        <f>Tabela1[[#This Row],[QTD]]*Tabela1[[#This Row],[VALOR UNITÁRIO]]</f>
        <v>94.38</v>
      </c>
    </row>
    <row r="36" spans="1:7" ht="15.75" customHeight="1" x14ac:dyDescent="0.25">
      <c r="A36" s="1">
        <v>34</v>
      </c>
      <c r="B36" s="4" t="s">
        <v>369</v>
      </c>
      <c r="C36" s="1" t="s">
        <v>370</v>
      </c>
      <c r="D36" s="1" t="s">
        <v>3</v>
      </c>
      <c r="E36" s="7">
        <v>23</v>
      </c>
      <c r="F36" s="5">
        <v>5.0999999999999996</v>
      </c>
      <c r="G36" s="5">
        <f>Tabela1[[#This Row],[QTD]]*Tabela1[[#This Row],[VALOR UNITÁRIO]]</f>
        <v>117.3</v>
      </c>
    </row>
    <row r="37" spans="1:7" ht="15.75" customHeight="1" x14ac:dyDescent="0.25">
      <c r="A37" s="1">
        <v>35</v>
      </c>
      <c r="B37" s="4" t="s">
        <v>371</v>
      </c>
      <c r="C37" s="1" t="s">
        <v>353</v>
      </c>
      <c r="D37" s="1" t="s">
        <v>3</v>
      </c>
      <c r="E37" s="7">
        <v>49</v>
      </c>
      <c r="F37" s="5">
        <v>0.65</v>
      </c>
      <c r="G37" s="5">
        <f>Tabela1[[#This Row],[QTD]]*Tabela1[[#This Row],[VALOR UNITÁRIO]]</f>
        <v>31.85</v>
      </c>
    </row>
    <row r="38" spans="1:7" ht="28.5" x14ac:dyDescent="0.25">
      <c r="A38" s="1">
        <v>36</v>
      </c>
      <c r="B38" s="4" t="s">
        <v>372</v>
      </c>
      <c r="C38" s="1" t="s">
        <v>373</v>
      </c>
      <c r="D38" s="1" t="s">
        <v>324</v>
      </c>
      <c r="E38" s="7">
        <v>16</v>
      </c>
      <c r="F38" s="5">
        <v>37.049999999999997</v>
      </c>
      <c r="G38" s="5">
        <f>Tabela1[[#This Row],[QTD]]*Tabela1[[#This Row],[VALOR UNITÁRIO]]</f>
        <v>592.79999999999995</v>
      </c>
    </row>
    <row r="39" spans="1:7" ht="28.5" x14ac:dyDescent="0.25">
      <c r="A39" s="1">
        <v>37</v>
      </c>
      <c r="B39" s="4" t="s">
        <v>374</v>
      </c>
      <c r="C39" s="1" t="s">
        <v>353</v>
      </c>
      <c r="D39" s="1" t="s">
        <v>3</v>
      </c>
      <c r="E39" s="7">
        <v>46</v>
      </c>
      <c r="F39" s="5">
        <v>1.47</v>
      </c>
      <c r="G39" s="5">
        <f>Tabela1[[#This Row],[QTD]]*Tabela1[[#This Row],[VALOR UNITÁRIO]]</f>
        <v>67.62</v>
      </c>
    </row>
    <row r="40" spans="1:7" ht="15.75" customHeight="1" x14ac:dyDescent="0.25">
      <c r="A40" s="1">
        <v>38</v>
      </c>
      <c r="B40" s="4" t="s">
        <v>375</v>
      </c>
      <c r="C40" s="1" t="s">
        <v>376</v>
      </c>
      <c r="D40" s="1" t="s">
        <v>3</v>
      </c>
      <c r="E40" s="7">
        <v>4</v>
      </c>
      <c r="F40" s="5">
        <v>8.06</v>
      </c>
      <c r="G40" s="5">
        <f>Tabela1[[#This Row],[QTD]]*Tabela1[[#This Row],[VALOR UNITÁRIO]]</f>
        <v>32.24</v>
      </c>
    </row>
    <row r="41" spans="1:7" ht="15.75" customHeight="1" x14ac:dyDescent="0.25">
      <c r="A41" s="1">
        <v>39</v>
      </c>
      <c r="B41" s="4" t="s">
        <v>377</v>
      </c>
      <c r="C41" s="1" t="s">
        <v>378</v>
      </c>
      <c r="D41" s="1" t="s">
        <v>379</v>
      </c>
      <c r="E41" s="7">
        <v>32</v>
      </c>
      <c r="F41" s="5">
        <v>1.77</v>
      </c>
      <c r="G41" s="5">
        <f>Tabela1[[#This Row],[QTD]]*Tabela1[[#This Row],[VALOR UNITÁRIO]]</f>
        <v>56.64</v>
      </c>
    </row>
    <row r="42" spans="1:7" ht="15.75" customHeight="1" x14ac:dyDescent="0.25">
      <c r="A42" s="1">
        <v>40</v>
      </c>
      <c r="B42" s="4" t="s">
        <v>380</v>
      </c>
      <c r="C42" s="1" t="s">
        <v>337</v>
      </c>
      <c r="D42" s="1" t="s">
        <v>324</v>
      </c>
      <c r="E42" s="7">
        <v>4</v>
      </c>
      <c r="F42" s="5">
        <v>17.7</v>
      </c>
      <c r="G42" s="5">
        <f>Tabela1[[#This Row],[QTD]]*Tabela1[[#This Row],[VALOR UNITÁRIO]]</f>
        <v>70.8</v>
      </c>
    </row>
    <row r="43" spans="1:7" ht="15.75" customHeight="1" x14ac:dyDescent="0.25">
      <c r="A43" s="1">
        <v>41</v>
      </c>
      <c r="B43" s="4" t="s">
        <v>381</v>
      </c>
      <c r="C43" s="1" t="s">
        <v>337</v>
      </c>
      <c r="D43" s="1" t="s">
        <v>324</v>
      </c>
      <c r="E43" s="7">
        <v>1</v>
      </c>
      <c r="F43" s="5">
        <v>19.510000000000002</v>
      </c>
      <c r="G43" s="5">
        <f>Tabela1[[#This Row],[QTD]]*Tabela1[[#This Row],[VALOR UNITÁRIO]]</f>
        <v>19.510000000000002</v>
      </c>
    </row>
    <row r="44" spans="1:7" ht="15.75" customHeight="1" x14ac:dyDescent="0.25">
      <c r="A44" s="1">
        <v>42</v>
      </c>
      <c r="B44" s="4" t="s">
        <v>382</v>
      </c>
      <c r="C44" s="1" t="s">
        <v>337</v>
      </c>
      <c r="D44" s="1" t="s">
        <v>317</v>
      </c>
      <c r="E44" s="7">
        <v>32</v>
      </c>
      <c r="F44" s="5">
        <v>27</v>
      </c>
      <c r="G44" s="5">
        <f>Tabela1[[#This Row],[QTD]]*Tabela1[[#This Row],[VALOR UNITÁRIO]]</f>
        <v>864</v>
      </c>
    </row>
    <row r="45" spans="1:7" ht="15.75" customHeight="1" x14ac:dyDescent="0.25">
      <c r="A45" s="1">
        <v>43</v>
      </c>
      <c r="B45" s="4" t="s">
        <v>383</v>
      </c>
      <c r="C45" s="1" t="s">
        <v>337</v>
      </c>
      <c r="D45" s="1" t="s">
        <v>317</v>
      </c>
      <c r="E45" s="7">
        <v>46</v>
      </c>
      <c r="F45" s="5">
        <v>15.98</v>
      </c>
      <c r="G45" s="5">
        <f>Tabela1[[#This Row],[QTD]]*Tabela1[[#This Row],[VALOR UNITÁRIO]]</f>
        <v>735.08</v>
      </c>
    </row>
    <row r="46" spans="1:7" ht="28.5" x14ac:dyDescent="0.25">
      <c r="A46" s="1">
        <v>44</v>
      </c>
      <c r="B46" s="4" t="s">
        <v>384</v>
      </c>
      <c r="C46" s="1" t="s">
        <v>337</v>
      </c>
      <c r="D46" s="1" t="s">
        <v>324</v>
      </c>
      <c r="E46" s="7">
        <v>92</v>
      </c>
      <c r="F46" s="5">
        <v>19.95</v>
      </c>
      <c r="G46" s="5">
        <f>Tabela1[[#This Row],[QTD]]*Tabela1[[#This Row],[VALOR UNITÁRIO]]</f>
        <v>1835.3999999999999</v>
      </c>
    </row>
    <row r="47" spans="1:7" ht="28.5" x14ac:dyDescent="0.25">
      <c r="A47" s="1">
        <v>45</v>
      </c>
      <c r="B47" s="4" t="s">
        <v>385</v>
      </c>
      <c r="C47" s="1" t="s">
        <v>337</v>
      </c>
      <c r="D47" s="1" t="s">
        <v>324</v>
      </c>
      <c r="E47" s="7">
        <v>92</v>
      </c>
      <c r="F47" s="5">
        <v>21</v>
      </c>
      <c r="G47" s="5">
        <f>Tabela1[[#This Row],[QTD]]*Tabela1[[#This Row],[VALOR UNITÁRIO]]</f>
        <v>1932</v>
      </c>
    </row>
    <row r="48" spans="1:7" ht="15.75" customHeight="1" x14ac:dyDescent="0.25">
      <c r="A48" s="1">
        <v>46</v>
      </c>
      <c r="B48" s="4" t="s">
        <v>386</v>
      </c>
      <c r="C48" s="1" t="s">
        <v>337</v>
      </c>
      <c r="D48" s="1" t="s">
        <v>3</v>
      </c>
      <c r="E48" s="7">
        <v>56</v>
      </c>
      <c r="F48" s="5">
        <v>6.22</v>
      </c>
      <c r="G48" s="5">
        <f>Tabela1[[#This Row],[QTD]]*Tabela1[[#This Row],[VALOR UNITÁRIO]]</f>
        <v>348.32</v>
      </c>
    </row>
    <row r="49" spans="1:7" ht="15.75" customHeight="1" x14ac:dyDescent="0.25">
      <c r="A49" s="1">
        <v>47</v>
      </c>
      <c r="B49" s="4" t="s">
        <v>387</v>
      </c>
      <c r="C49" s="1" t="s">
        <v>388</v>
      </c>
      <c r="D49" s="1" t="s">
        <v>389</v>
      </c>
      <c r="E49" s="7">
        <v>89</v>
      </c>
      <c r="F49" s="5">
        <v>5.54</v>
      </c>
      <c r="G49" s="5">
        <f>Tabela1[[#This Row],[QTD]]*Tabela1[[#This Row],[VALOR UNITÁRIO]]</f>
        <v>493.06</v>
      </c>
    </row>
    <row r="50" spans="1:7" ht="15.75" customHeight="1" x14ac:dyDescent="0.25">
      <c r="A50" s="1">
        <v>48</v>
      </c>
      <c r="B50" s="4" t="s">
        <v>390</v>
      </c>
      <c r="C50" s="1" t="s">
        <v>388</v>
      </c>
      <c r="D50" s="1" t="s">
        <v>389</v>
      </c>
      <c r="E50" s="7">
        <v>89</v>
      </c>
      <c r="F50" s="5">
        <v>3.8</v>
      </c>
      <c r="G50" s="5">
        <f>Tabela1[[#This Row],[QTD]]*Tabela1[[#This Row],[VALOR UNITÁRIO]]</f>
        <v>338.2</v>
      </c>
    </row>
    <row r="51" spans="1:7" ht="15.75" customHeight="1" x14ac:dyDescent="0.25">
      <c r="A51" s="1">
        <v>49</v>
      </c>
      <c r="B51" s="4" t="s">
        <v>391</v>
      </c>
      <c r="C51" s="1" t="s">
        <v>392</v>
      </c>
      <c r="D51" s="1" t="s">
        <v>3</v>
      </c>
      <c r="E51" s="7">
        <v>9</v>
      </c>
      <c r="F51" s="5">
        <v>6.73</v>
      </c>
      <c r="G51" s="5">
        <f>Tabela1[[#This Row],[QTD]]*Tabela1[[#This Row],[VALOR UNITÁRIO]]</f>
        <v>60.570000000000007</v>
      </c>
    </row>
    <row r="52" spans="1:7" ht="15.75" customHeight="1" x14ac:dyDescent="0.25">
      <c r="A52" s="1">
        <v>50</v>
      </c>
      <c r="B52" s="4" t="s">
        <v>393</v>
      </c>
      <c r="C52" s="1" t="s">
        <v>345</v>
      </c>
      <c r="D52" s="1" t="s">
        <v>3</v>
      </c>
      <c r="E52" s="7">
        <v>1</v>
      </c>
      <c r="F52" s="5">
        <v>9.69</v>
      </c>
      <c r="G52" s="5">
        <f>Tabela1[[#This Row],[QTD]]*Tabela1[[#This Row],[VALOR UNITÁRIO]]</f>
        <v>9.69</v>
      </c>
    </row>
    <row r="53" spans="1:7" ht="28.5" x14ac:dyDescent="0.25">
      <c r="A53" s="1">
        <v>51</v>
      </c>
      <c r="B53" s="4" t="s">
        <v>394</v>
      </c>
      <c r="C53" s="1" t="s">
        <v>328</v>
      </c>
      <c r="D53" s="1" t="s">
        <v>3</v>
      </c>
      <c r="E53" s="7">
        <v>1</v>
      </c>
      <c r="F53" s="5">
        <v>29.9</v>
      </c>
      <c r="G53" s="5">
        <f>Tabela1[[#This Row],[QTD]]*Tabela1[[#This Row],[VALOR UNITÁRIO]]</f>
        <v>29.9</v>
      </c>
    </row>
    <row r="54" spans="1:7" ht="15.75" customHeight="1" x14ac:dyDescent="0.25">
      <c r="A54" s="1">
        <v>52</v>
      </c>
      <c r="B54" s="4" t="s">
        <v>395</v>
      </c>
      <c r="C54" s="1" t="s">
        <v>396</v>
      </c>
      <c r="D54" s="1" t="s">
        <v>379</v>
      </c>
      <c r="E54" s="7">
        <v>16</v>
      </c>
      <c r="F54" s="5">
        <v>13.53</v>
      </c>
      <c r="G54" s="5">
        <f>Tabela1[[#This Row],[QTD]]*Tabela1[[#This Row],[VALOR UNITÁRIO]]</f>
        <v>216.48</v>
      </c>
    </row>
    <row r="55" spans="1:7" ht="25.5" customHeight="1" x14ac:dyDescent="0.25">
      <c r="A55" s="128" t="s">
        <v>311</v>
      </c>
      <c r="B55" s="128" t="s">
        <v>2</v>
      </c>
      <c r="C55" s="128" t="s">
        <v>312</v>
      </c>
      <c r="D55" s="128" t="s">
        <v>313</v>
      </c>
      <c r="E55" s="128" t="s">
        <v>4</v>
      </c>
      <c r="F55" s="129" t="s">
        <v>5</v>
      </c>
      <c r="G55" s="129" t="s">
        <v>314</v>
      </c>
    </row>
    <row r="56" spans="1:7" ht="28.5" x14ac:dyDescent="0.25">
      <c r="A56" s="1">
        <v>53</v>
      </c>
      <c r="B56" s="4" t="s">
        <v>397</v>
      </c>
      <c r="C56" s="1" t="s">
        <v>398</v>
      </c>
      <c r="D56" s="1" t="s">
        <v>399</v>
      </c>
      <c r="E56" s="7">
        <v>5976</v>
      </c>
      <c r="F56" s="5">
        <v>0.91</v>
      </c>
      <c r="G56" s="5">
        <f>Tabela1[[#This Row],[QTD]]*Tabela1[[#This Row],[VALOR UNITÁRIO]]</f>
        <v>5438.16</v>
      </c>
    </row>
    <row r="57" spans="1:7" ht="28.5" x14ac:dyDescent="0.25">
      <c r="A57" s="1">
        <v>54</v>
      </c>
      <c r="B57" s="155" t="s">
        <v>400</v>
      </c>
      <c r="C57" s="1" t="s">
        <v>401</v>
      </c>
      <c r="D57" s="1" t="s">
        <v>402</v>
      </c>
      <c r="E57" s="7">
        <v>784</v>
      </c>
      <c r="F57" s="5">
        <v>8.86</v>
      </c>
      <c r="G57" s="5">
        <f>Tabela1[[#This Row],[QTD]]*Tabela1[[#This Row],[VALOR UNITÁRIO]]</f>
        <v>6946.24</v>
      </c>
    </row>
    <row r="58" spans="1:7" ht="15.75" customHeight="1" x14ac:dyDescent="0.25">
      <c r="A58" s="1">
        <v>55</v>
      </c>
      <c r="B58" s="4" t="s">
        <v>403</v>
      </c>
      <c r="C58" s="1" t="s">
        <v>404</v>
      </c>
      <c r="D58" s="1" t="s">
        <v>3</v>
      </c>
      <c r="E58" s="7">
        <v>32</v>
      </c>
      <c r="F58" s="5">
        <v>3.95</v>
      </c>
      <c r="G58" s="5">
        <f>Tabela1[[#This Row],[QTD]]*Tabela1[[#This Row],[VALOR UNITÁRIO]]</f>
        <v>126.4</v>
      </c>
    </row>
    <row r="59" spans="1:7" ht="15.75" customHeight="1" x14ac:dyDescent="0.25">
      <c r="A59" s="1">
        <v>56</v>
      </c>
      <c r="B59" s="4" t="s">
        <v>405</v>
      </c>
      <c r="C59" s="1" t="s">
        <v>406</v>
      </c>
      <c r="D59" s="1" t="s">
        <v>3</v>
      </c>
      <c r="E59" s="7">
        <v>124</v>
      </c>
      <c r="F59" s="5">
        <v>4.96</v>
      </c>
      <c r="G59" s="5">
        <f>Tabela1[[#This Row],[QTD]]*Tabela1[[#This Row],[VALOR UNITÁRIO]]</f>
        <v>615.04</v>
      </c>
    </row>
    <row r="60" spans="1:7" ht="15.75" customHeight="1" x14ac:dyDescent="0.25">
      <c r="A60" s="1">
        <v>57</v>
      </c>
      <c r="B60" s="4" t="s">
        <v>407</v>
      </c>
      <c r="C60" s="1" t="s">
        <v>408</v>
      </c>
      <c r="D60" s="1" t="s">
        <v>3</v>
      </c>
      <c r="E60" s="7">
        <v>9</v>
      </c>
      <c r="F60" s="5">
        <v>10.9</v>
      </c>
      <c r="G60" s="5">
        <f>Tabela1[[#This Row],[QTD]]*Tabela1[[#This Row],[VALOR UNITÁRIO]]</f>
        <v>98.100000000000009</v>
      </c>
    </row>
    <row r="61" spans="1:7" ht="15.75" customHeight="1" x14ac:dyDescent="0.25">
      <c r="A61" s="1">
        <v>58</v>
      </c>
      <c r="B61" s="4" t="s">
        <v>409</v>
      </c>
      <c r="C61" s="1" t="s">
        <v>409</v>
      </c>
      <c r="D61" s="1" t="s">
        <v>410</v>
      </c>
      <c r="E61" s="7">
        <v>9</v>
      </c>
      <c r="F61" s="5">
        <v>32.53</v>
      </c>
      <c r="G61" s="5">
        <f>Tabela1[[#This Row],[QTD]]*Tabela1[[#This Row],[VALOR UNITÁRIO]]</f>
        <v>292.77</v>
      </c>
    </row>
    <row r="62" spans="1:7" ht="15.75" customHeight="1" x14ac:dyDescent="0.25">
      <c r="A62" s="1">
        <v>59</v>
      </c>
      <c r="B62" s="155" t="s">
        <v>411</v>
      </c>
      <c r="C62" s="1" t="s">
        <v>412</v>
      </c>
      <c r="D62" s="1" t="s">
        <v>413</v>
      </c>
      <c r="E62" s="7">
        <v>4</v>
      </c>
      <c r="F62" s="5">
        <v>4.34</v>
      </c>
      <c r="G62" s="5">
        <f>Tabela1[[#This Row],[QTD]]*Tabela1[[#This Row],[VALOR UNITÁRIO]]</f>
        <v>17.36</v>
      </c>
    </row>
    <row r="63" spans="1:7" ht="42.75" x14ac:dyDescent="0.25">
      <c r="A63" s="1">
        <v>60</v>
      </c>
      <c r="B63" s="155" t="s">
        <v>414</v>
      </c>
      <c r="C63" s="1" t="s">
        <v>415</v>
      </c>
      <c r="D63" s="1" t="s">
        <v>402</v>
      </c>
      <c r="E63" s="7">
        <v>16</v>
      </c>
      <c r="F63" s="5">
        <v>11</v>
      </c>
      <c r="G63" s="5">
        <f>Tabela1[[#This Row],[QTD]]*Tabela1[[#This Row],[VALOR UNITÁRIO]]</f>
        <v>176</v>
      </c>
    </row>
    <row r="64" spans="1:7" ht="42.75" x14ac:dyDescent="0.25">
      <c r="A64" s="1">
        <v>61</v>
      </c>
      <c r="B64" s="4" t="s">
        <v>416</v>
      </c>
      <c r="C64" s="1" t="s">
        <v>328</v>
      </c>
      <c r="D64" s="1" t="s">
        <v>3</v>
      </c>
      <c r="E64" s="7">
        <v>4</v>
      </c>
      <c r="F64" s="5">
        <v>12.54</v>
      </c>
      <c r="G64" s="5">
        <f>Tabela1[[#This Row],[QTD]]*Tabela1[[#This Row],[VALOR UNITÁRIO]]</f>
        <v>50.16</v>
      </c>
    </row>
    <row r="65" spans="1:7" ht="42.75" x14ac:dyDescent="0.25">
      <c r="A65" s="1">
        <v>62</v>
      </c>
      <c r="B65" s="4" t="s">
        <v>417</v>
      </c>
      <c r="C65" s="1" t="s">
        <v>328</v>
      </c>
      <c r="D65" s="1" t="s">
        <v>3</v>
      </c>
      <c r="E65" s="7">
        <v>7</v>
      </c>
      <c r="F65" s="5">
        <v>13.19</v>
      </c>
      <c r="G65" s="5">
        <f>Tabela1[[#This Row],[QTD]]*Tabela1[[#This Row],[VALOR UNITÁRIO]]</f>
        <v>92.33</v>
      </c>
    </row>
    <row r="66" spans="1:7" ht="28.5" x14ac:dyDescent="0.25">
      <c r="A66" s="1">
        <v>63</v>
      </c>
      <c r="B66" s="4" t="s">
        <v>418</v>
      </c>
      <c r="C66" s="1" t="s">
        <v>419</v>
      </c>
      <c r="D66" s="1" t="s">
        <v>3</v>
      </c>
      <c r="E66" s="7">
        <v>7</v>
      </c>
      <c r="F66" s="5">
        <v>15.69</v>
      </c>
      <c r="G66" s="5">
        <f>Tabela1[[#This Row],[QTD]]*Tabela1[[#This Row],[VALOR UNITÁRIO]]</f>
        <v>109.83</v>
      </c>
    </row>
    <row r="67" spans="1:7" ht="28.5" x14ac:dyDescent="0.25">
      <c r="A67" s="1">
        <v>64</v>
      </c>
      <c r="B67" s="4" t="s">
        <v>420</v>
      </c>
      <c r="C67" s="1" t="s">
        <v>419</v>
      </c>
      <c r="D67" s="1" t="s">
        <v>3</v>
      </c>
      <c r="E67" s="7">
        <v>7</v>
      </c>
      <c r="F67" s="5">
        <v>20.9</v>
      </c>
      <c r="G67" s="5">
        <f>Tabela1[[#This Row],[QTD]]*Tabela1[[#This Row],[VALOR UNITÁRIO]]</f>
        <v>146.29999999999998</v>
      </c>
    </row>
    <row r="68" spans="1:7" ht="15.75" customHeight="1" x14ac:dyDescent="0.25">
      <c r="A68" s="1">
        <v>65</v>
      </c>
      <c r="B68" s="4" t="s">
        <v>421</v>
      </c>
      <c r="C68" s="1" t="s">
        <v>422</v>
      </c>
      <c r="D68" s="1" t="s">
        <v>3</v>
      </c>
      <c r="E68" s="7">
        <v>7</v>
      </c>
      <c r="F68" s="5">
        <v>11.16</v>
      </c>
      <c r="G68" s="5">
        <f>Tabela1[[#This Row],[QTD]]*Tabela1[[#This Row],[VALOR UNITÁRIO]]</f>
        <v>78.12</v>
      </c>
    </row>
    <row r="69" spans="1:7" ht="15.75" customHeight="1" x14ac:dyDescent="0.25">
      <c r="A69" s="1">
        <v>66</v>
      </c>
      <c r="B69" s="4" t="s">
        <v>423</v>
      </c>
      <c r="C69" s="1" t="s">
        <v>424</v>
      </c>
      <c r="D69" s="1" t="s">
        <v>317</v>
      </c>
      <c r="E69" s="7">
        <v>7</v>
      </c>
      <c r="F69" s="5">
        <v>15.19</v>
      </c>
      <c r="G69" s="5">
        <f>Tabela1[[#This Row],[QTD]]*Tabela1[[#This Row],[VALOR UNITÁRIO]]</f>
        <v>106.33</v>
      </c>
    </row>
    <row r="70" spans="1:7" ht="28.5" x14ac:dyDescent="0.25">
      <c r="A70" s="1">
        <v>67</v>
      </c>
      <c r="B70" s="4" t="s">
        <v>425</v>
      </c>
      <c r="C70" s="1" t="s">
        <v>426</v>
      </c>
      <c r="D70" s="1" t="s">
        <v>324</v>
      </c>
      <c r="E70" s="7">
        <v>33</v>
      </c>
      <c r="F70" s="5">
        <v>25.76</v>
      </c>
      <c r="G70" s="5">
        <f>Tabela1[[#This Row],[QTD]]*Tabela1[[#This Row],[VALOR UNITÁRIO]]</f>
        <v>850.08</v>
      </c>
    </row>
    <row r="71" spans="1:7" ht="15.75" customHeight="1" x14ac:dyDescent="0.25">
      <c r="A71" s="1">
        <v>68</v>
      </c>
      <c r="B71" s="4" t="s">
        <v>427</v>
      </c>
      <c r="C71" s="1" t="s">
        <v>428</v>
      </c>
      <c r="D71" s="1" t="s">
        <v>324</v>
      </c>
      <c r="E71" s="7">
        <v>50</v>
      </c>
      <c r="F71" s="5">
        <v>32.380000000000003</v>
      </c>
      <c r="G71" s="5">
        <f>Tabela1[[#This Row],[QTD]]*Tabela1[[#This Row],[VALOR UNITÁRIO]]</f>
        <v>1619.0000000000002</v>
      </c>
    </row>
    <row r="72" spans="1:7" ht="15.75" customHeight="1" x14ac:dyDescent="0.25">
      <c r="A72" s="1">
        <v>69</v>
      </c>
      <c r="B72" s="4" t="s">
        <v>429</v>
      </c>
      <c r="C72" s="1" t="s">
        <v>345</v>
      </c>
      <c r="D72" s="1" t="s">
        <v>3</v>
      </c>
      <c r="E72" s="7">
        <v>7</v>
      </c>
      <c r="F72" s="5">
        <v>8.4600000000000009</v>
      </c>
      <c r="G72" s="5">
        <f>Tabela1[[#This Row],[QTD]]*Tabela1[[#This Row],[VALOR UNITÁRIO]]</f>
        <v>59.220000000000006</v>
      </c>
    </row>
    <row r="73" spans="1:7" ht="15.75" customHeight="1" x14ac:dyDescent="0.25">
      <c r="A73" s="1">
        <v>70</v>
      </c>
      <c r="B73" s="4" t="s">
        <v>430</v>
      </c>
      <c r="C73" s="1" t="s">
        <v>345</v>
      </c>
      <c r="D73" s="1" t="s">
        <v>3</v>
      </c>
      <c r="E73" s="7">
        <v>7</v>
      </c>
      <c r="F73" s="5">
        <v>21</v>
      </c>
      <c r="G73" s="5">
        <f>Tabela1[[#This Row],[QTD]]*Tabela1[[#This Row],[VALOR UNITÁRIO]]</f>
        <v>147</v>
      </c>
    </row>
    <row r="74" spans="1:7" ht="15.75" customHeight="1" x14ac:dyDescent="0.25">
      <c r="A74" s="1">
        <v>71</v>
      </c>
      <c r="B74" s="4" t="s">
        <v>431</v>
      </c>
      <c r="C74" s="1" t="s">
        <v>345</v>
      </c>
      <c r="D74" s="1" t="s">
        <v>3</v>
      </c>
      <c r="E74" s="7">
        <v>7</v>
      </c>
      <c r="F74" s="5">
        <v>9.9</v>
      </c>
      <c r="G74" s="5">
        <f>Tabela1[[#This Row],[QTD]]*Tabela1[[#This Row],[VALOR UNITÁRIO]]</f>
        <v>69.3</v>
      </c>
    </row>
    <row r="75" spans="1:7" ht="15.75" customHeight="1" x14ac:dyDescent="0.25">
      <c r="A75" s="1">
        <v>72</v>
      </c>
      <c r="B75" s="4" t="s">
        <v>432</v>
      </c>
      <c r="C75" s="1" t="s">
        <v>345</v>
      </c>
      <c r="D75" s="1" t="s">
        <v>3</v>
      </c>
      <c r="E75" s="7">
        <v>7</v>
      </c>
      <c r="F75" s="5">
        <v>12.6</v>
      </c>
      <c r="G75" s="5">
        <f>Tabela1[[#This Row],[QTD]]*Tabela1[[#This Row],[VALOR UNITÁRIO]]</f>
        <v>88.2</v>
      </c>
    </row>
    <row r="76" spans="1:7" ht="15.75" customHeight="1" x14ac:dyDescent="0.25">
      <c r="A76" s="1">
        <v>73</v>
      </c>
      <c r="B76" s="4" t="s">
        <v>433</v>
      </c>
      <c r="C76" s="1" t="s">
        <v>434</v>
      </c>
      <c r="D76" s="1" t="s">
        <v>3</v>
      </c>
      <c r="E76" s="7">
        <v>125</v>
      </c>
      <c r="F76" s="5">
        <v>1.38</v>
      </c>
      <c r="G76" s="5">
        <f>Tabela1[[#This Row],[QTD]]*Tabela1[[#This Row],[VALOR UNITÁRIO]]</f>
        <v>172.5</v>
      </c>
    </row>
    <row r="77" spans="1:7" ht="15.75" customHeight="1" x14ac:dyDescent="0.25">
      <c r="A77" s="1">
        <v>74</v>
      </c>
      <c r="B77" s="4" t="s">
        <v>435</v>
      </c>
      <c r="C77" s="1" t="s">
        <v>436</v>
      </c>
      <c r="D77" s="1" t="s">
        <v>410</v>
      </c>
      <c r="E77" s="7">
        <v>23</v>
      </c>
      <c r="F77" s="5">
        <v>4.9000000000000004</v>
      </c>
      <c r="G77" s="5">
        <f>Tabela1[[#This Row],[QTD]]*Tabela1[[#This Row],[VALOR UNITÁRIO]]</f>
        <v>112.7</v>
      </c>
    </row>
    <row r="78" spans="1:7" ht="28.5" x14ac:dyDescent="0.25">
      <c r="A78" s="1">
        <v>75</v>
      </c>
      <c r="B78" s="4" t="s">
        <v>437</v>
      </c>
      <c r="C78" s="1" t="s">
        <v>337</v>
      </c>
      <c r="D78" s="1" t="s">
        <v>324</v>
      </c>
      <c r="E78" s="7">
        <v>9</v>
      </c>
      <c r="F78" s="5">
        <v>29.9</v>
      </c>
      <c r="G78" s="5">
        <f>Tabela1[[#This Row],[QTD]]*Tabela1[[#This Row],[VALOR UNITÁRIO]]</f>
        <v>269.09999999999997</v>
      </c>
    </row>
    <row r="79" spans="1:7" ht="15.75" customHeight="1" x14ac:dyDescent="0.25">
      <c r="A79" s="1">
        <v>76</v>
      </c>
      <c r="B79" s="4" t="s">
        <v>438</v>
      </c>
      <c r="C79" s="1" t="s">
        <v>415</v>
      </c>
      <c r="D79" s="1" t="s">
        <v>3</v>
      </c>
      <c r="E79" s="7">
        <v>220</v>
      </c>
      <c r="F79" s="5">
        <v>6.8</v>
      </c>
      <c r="G79" s="5">
        <f>Tabela1[[#This Row],[QTD]]*Tabela1[[#This Row],[VALOR UNITÁRIO]]</f>
        <v>1496</v>
      </c>
    </row>
    <row r="80" spans="1:7" ht="28.5" x14ac:dyDescent="0.25">
      <c r="A80" s="1">
        <v>77</v>
      </c>
      <c r="B80" s="4" t="s">
        <v>439</v>
      </c>
      <c r="C80" s="1" t="s">
        <v>440</v>
      </c>
      <c r="D80" s="1" t="s">
        <v>402</v>
      </c>
      <c r="E80" s="7">
        <v>3</v>
      </c>
      <c r="F80" s="5">
        <v>27.47</v>
      </c>
      <c r="G80" s="5">
        <f>Tabela1[[#This Row],[QTD]]*Tabela1[[#This Row],[VALOR UNITÁRIO]]</f>
        <v>82.41</v>
      </c>
    </row>
    <row r="81" spans="1:7" ht="28.5" x14ac:dyDescent="0.25">
      <c r="A81" s="1">
        <v>78</v>
      </c>
      <c r="B81" s="4" t="s">
        <v>441</v>
      </c>
      <c r="C81" s="1" t="s">
        <v>440</v>
      </c>
      <c r="D81" s="1" t="s">
        <v>402</v>
      </c>
      <c r="E81" s="7">
        <v>3</v>
      </c>
      <c r="F81" s="5">
        <v>13.57</v>
      </c>
      <c r="G81" s="5">
        <f>Tabela1[[#This Row],[QTD]]*Tabela1[[#This Row],[VALOR UNITÁRIO]]</f>
        <v>40.71</v>
      </c>
    </row>
    <row r="82" spans="1:7" ht="28.5" x14ac:dyDescent="0.25">
      <c r="A82" s="1">
        <v>79</v>
      </c>
      <c r="B82" s="4" t="s">
        <v>442</v>
      </c>
      <c r="C82" s="1" t="s">
        <v>443</v>
      </c>
      <c r="D82" s="1" t="s">
        <v>3</v>
      </c>
      <c r="E82" s="7">
        <v>160</v>
      </c>
      <c r="F82" s="5">
        <v>1.82</v>
      </c>
      <c r="G82" s="5">
        <f>Tabela1[[#This Row],[QTD]]*Tabela1[[#This Row],[VALOR UNITÁRIO]]</f>
        <v>291.2</v>
      </c>
    </row>
    <row r="83" spans="1:7" ht="28.5" x14ac:dyDescent="0.25">
      <c r="A83" s="1">
        <v>80</v>
      </c>
      <c r="B83" s="155" t="s">
        <v>444</v>
      </c>
      <c r="C83" s="1" t="s">
        <v>445</v>
      </c>
      <c r="D83" s="1" t="s">
        <v>379</v>
      </c>
      <c r="E83" s="7">
        <v>8</v>
      </c>
      <c r="F83" s="5">
        <v>14.1</v>
      </c>
      <c r="G83" s="5">
        <f>Tabela1[[#This Row],[QTD]]*Tabela1[[#This Row],[VALOR UNITÁRIO]]</f>
        <v>112.8</v>
      </c>
    </row>
    <row r="84" spans="1:7" ht="28.5" x14ac:dyDescent="0.25">
      <c r="A84" s="1">
        <v>81</v>
      </c>
      <c r="B84" s="4" t="s">
        <v>446</v>
      </c>
      <c r="C84" s="1" t="s">
        <v>440</v>
      </c>
      <c r="D84" s="1" t="s">
        <v>402</v>
      </c>
      <c r="E84" s="7">
        <v>63</v>
      </c>
      <c r="F84" s="5">
        <v>35.99</v>
      </c>
      <c r="G84" s="5">
        <f>Tabela1[[#This Row],[QTD]]*Tabela1[[#This Row],[VALOR UNITÁRIO]]</f>
        <v>2267.3700000000003</v>
      </c>
    </row>
    <row r="85" spans="1:7" ht="28.5" x14ac:dyDescent="0.25">
      <c r="A85" s="1">
        <v>82</v>
      </c>
      <c r="B85" s="4" t="s">
        <v>447</v>
      </c>
      <c r="C85" s="1" t="s">
        <v>440</v>
      </c>
      <c r="D85" s="1" t="s">
        <v>402</v>
      </c>
      <c r="E85" s="7">
        <v>79</v>
      </c>
      <c r="F85" s="5">
        <v>14.9</v>
      </c>
      <c r="G85" s="5">
        <f>Tabela1[[#This Row],[QTD]]*Tabela1[[#This Row],[VALOR UNITÁRIO]]</f>
        <v>1177.1000000000001</v>
      </c>
    </row>
    <row r="86" spans="1:7" ht="15.75" customHeight="1" x14ac:dyDescent="0.25">
      <c r="A86" s="1">
        <v>83</v>
      </c>
      <c r="B86" s="155" t="s">
        <v>448</v>
      </c>
      <c r="C86" s="1" t="s">
        <v>449</v>
      </c>
      <c r="D86" s="1" t="s">
        <v>3</v>
      </c>
      <c r="E86" s="7">
        <v>62</v>
      </c>
      <c r="F86" s="5">
        <v>2.75</v>
      </c>
      <c r="G86" s="5">
        <f>Tabela1[[#This Row],[QTD]]*Tabela1[[#This Row],[VALOR UNITÁRIO]]</f>
        <v>170.5</v>
      </c>
    </row>
    <row r="87" spans="1:7" ht="15.75" customHeight="1" x14ac:dyDescent="0.25">
      <c r="A87" s="1">
        <v>84</v>
      </c>
      <c r="B87" s="155" t="s">
        <v>450</v>
      </c>
      <c r="C87" s="1" t="s">
        <v>424</v>
      </c>
      <c r="D87" s="1" t="s">
        <v>334</v>
      </c>
      <c r="E87" s="7">
        <v>3</v>
      </c>
      <c r="F87" s="5">
        <v>10.83</v>
      </c>
      <c r="G87" s="5">
        <f>Tabela1[[#This Row],[QTD]]*Tabela1[[#This Row],[VALOR UNITÁRIO]]</f>
        <v>32.49</v>
      </c>
    </row>
    <row r="88" spans="1:7" ht="15.75" customHeight="1" x14ac:dyDescent="0.25">
      <c r="A88" s="1">
        <v>85</v>
      </c>
      <c r="B88" s="4" t="s">
        <v>451</v>
      </c>
      <c r="C88" s="1" t="s">
        <v>452</v>
      </c>
      <c r="D88" s="1" t="s">
        <v>3</v>
      </c>
      <c r="E88" s="7">
        <v>3</v>
      </c>
      <c r="F88" s="5">
        <v>32.33</v>
      </c>
      <c r="G88" s="5">
        <f>Tabela1[[#This Row],[QTD]]*Tabela1[[#This Row],[VALOR UNITÁRIO]]</f>
        <v>96.99</v>
      </c>
    </row>
    <row r="89" spans="1:7" ht="15.75" customHeight="1" x14ac:dyDescent="0.25">
      <c r="A89" s="1">
        <v>86</v>
      </c>
      <c r="B89" s="4" t="s">
        <v>453</v>
      </c>
      <c r="C89" s="1" t="s">
        <v>345</v>
      </c>
      <c r="D89" s="1" t="s">
        <v>3</v>
      </c>
      <c r="E89" s="7">
        <v>3</v>
      </c>
      <c r="F89" s="5">
        <v>12.99</v>
      </c>
      <c r="G89" s="5">
        <f>Tabela1[[#This Row],[QTD]]*Tabela1[[#This Row],[VALOR UNITÁRIO]]</f>
        <v>38.97</v>
      </c>
    </row>
    <row r="90" spans="1:7" ht="15.75" customHeight="1" x14ac:dyDescent="0.25">
      <c r="A90" s="1">
        <v>87</v>
      </c>
      <c r="B90" s="4" t="s">
        <v>454</v>
      </c>
      <c r="C90" s="1" t="s">
        <v>345</v>
      </c>
      <c r="D90" s="1" t="s">
        <v>3</v>
      </c>
      <c r="E90" s="7">
        <v>13</v>
      </c>
      <c r="F90" s="5">
        <v>10.91</v>
      </c>
      <c r="G90" s="5">
        <f>Tabela1[[#This Row],[QTD]]*Tabela1[[#This Row],[VALOR UNITÁRIO]]</f>
        <v>141.83000000000001</v>
      </c>
    </row>
    <row r="91" spans="1:7" ht="15.75" customHeight="1" x14ac:dyDescent="0.25">
      <c r="A91" s="1">
        <v>88</v>
      </c>
      <c r="B91" s="4" t="s">
        <v>455</v>
      </c>
      <c r="C91" s="1" t="s">
        <v>345</v>
      </c>
      <c r="D91" s="1" t="s">
        <v>3</v>
      </c>
      <c r="E91" s="7">
        <v>13</v>
      </c>
      <c r="F91" s="5">
        <v>12.86</v>
      </c>
      <c r="G91" s="5">
        <f>Tabela1[[#This Row],[QTD]]*Tabela1[[#This Row],[VALOR UNITÁRIO]]</f>
        <v>167.18</v>
      </c>
    </row>
    <row r="92" spans="1:7" ht="15.75" customHeight="1" x14ac:dyDescent="0.25">
      <c r="A92" s="1">
        <v>89</v>
      </c>
      <c r="B92" s="4" t="s">
        <v>456</v>
      </c>
      <c r="C92" s="1" t="s">
        <v>345</v>
      </c>
      <c r="D92" s="1" t="s">
        <v>3</v>
      </c>
      <c r="E92" s="7">
        <v>13</v>
      </c>
      <c r="F92" s="5">
        <v>6.59</v>
      </c>
      <c r="G92" s="5">
        <f>Tabela1[[#This Row],[QTD]]*Tabela1[[#This Row],[VALOR UNITÁRIO]]</f>
        <v>85.67</v>
      </c>
    </row>
    <row r="93" spans="1:7" ht="15.75" customHeight="1" x14ac:dyDescent="0.25">
      <c r="A93" s="1">
        <v>90</v>
      </c>
      <c r="B93" s="4" t="s">
        <v>457</v>
      </c>
      <c r="C93" s="1" t="s">
        <v>452</v>
      </c>
      <c r="D93" s="1" t="s">
        <v>410</v>
      </c>
      <c r="E93" s="7">
        <v>3</v>
      </c>
      <c r="F93" s="5">
        <v>34</v>
      </c>
      <c r="G93" s="5">
        <f>Tabela1[[#This Row],[QTD]]*Tabela1[[#This Row],[VALOR UNITÁRIO]]</f>
        <v>102</v>
      </c>
    </row>
    <row r="94" spans="1:7" ht="15.75" customHeight="1" x14ac:dyDescent="0.25">
      <c r="A94" s="1">
        <v>91</v>
      </c>
      <c r="B94" s="4" t="s">
        <v>458</v>
      </c>
      <c r="C94" s="1" t="s">
        <v>452</v>
      </c>
      <c r="D94" s="1" t="s">
        <v>317</v>
      </c>
      <c r="E94" s="7">
        <v>3</v>
      </c>
      <c r="F94" s="5">
        <v>54.94</v>
      </c>
      <c r="G94" s="5">
        <f>Tabela1[[#This Row],[QTD]]*Tabela1[[#This Row],[VALOR UNITÁRIO]]</f>
        <v>164.82</v>
      </c>
    </row>
    <row r="95" spans="1:7" ht="15.75" customHeight="1" x14ac:dyDescent="0.25">
      <c r="A95" s="1">
        <v>92</v>
      </c>
      <c r="B95" s="155" t="s">
        <v>459</v>
      </c>
      <c r="C95" s="1" t="s">
        <v>452</v>
      </c>
      <c r="D95" s="1" t="s">
        <v>3</v>
      </c>
      <c r="E95" s="7">
        <v>263</v>
      </c>
      <c r="F95" s="5">
        <v>1.06</v>
      </c>
      <c r="G95" s="5">
        <f>Tabela1[[#This Row],[QTD]]*Tabela1[[#This Row],[VALOR UNITÁRIO]]</f>
        <v>278.78000000000003</v>
      </c>
    </row>
    <row r="96" spans="1:7" ht="25.5" customHeight="1" x14ac:dyDescent="0.25">
      <c r="A96" s="232" t="s">
        <v>460</v>
      </c>
      <c r="B96" s="232"/>
      <c r="C96" s="232"/>
      <c r="D96" s="232"/>
      <c r="E96" s="232"/>
      <c r="F96" s="232"/>
      <c r="G96" s="6">
        <f>SUM(Tabela1[VALOR TOTAL])</f>
        <v>40694.080000000002</v>
      </c>
    </row>
    <row r="99" spans="1:7" ht="25.5" customHeight="1" x14ac:dyDescent="0.25">
      <c r="A99" s="232" t="s">
        <v>461</v>
      </c>
      <c r="B99" s="232"/>
      <c r="C99" s="232"/>
      <c r="D99" s="232"/>
      <c r="E99" s="232"/>
      <c r="F99" s="232"/>
      <c r="G99" s="232"/>
    </row>
    <row r="100" spans="1:7" ht="25.5" customHeight="1" x14ac:dyDescent="0.25">
      <c r="A100" s="2" t="s">
        <v>311</v>
      </c>
      <c r="B100" s="2" t="s">
        <v>2</v>
      </c>
      <c r="C100" s="2" t="s">
        <v>312</v>
      </c>
      <c r="D100" s="2" t="s">
        <v>313</v>
      </c>
      <c r="E100" s="2" t="s">
        <v>4</v>
      </c>
      <c r="F100" s="3" t="s">
        <v>5</v>
      </c>
      <c r="G100" s="3" t="s">
        <v>314</v>
      </c>
    </row>
    <row r="101" spans="1:7" ht="15.75" customHeight="1" x14ac:dyDescent="0.25">
      <c r="A101" s="1">
        <v>1</v>
      </c>
      <c r="B101" s="4" t="s">
        <v>315</v>
      </c>
      <c r="C101" s="1" t="s">
        <v>316</v>
      </c>
      <c r="D101" s="1" t="s">
        <v>317</v>
      </c>
      <c r="E101" s="7">
        <v>2</v>
      </c>
      <c r="F101" s="5">
        <v>4.99</v>
      </c>
      <c r="G101" s="5">
        <f>Tabela13[[#This Row],[QTD]]*Tabela13[[#This Row],[VALOR UNITÁRIO]]</f>
        <v>9.98</v>
      </c>
    </row>
    <row r="102" spans="1:7" ht="15.75" customHeight="1" x14ac:dyDescent="0.25">
      <c r="A102" s="1">
        <v>2</v>
      </c>
      <c r="B102" s="4" t="s">
        <v>318</v>
      </c>
      <c r="C102" s="1" t="s">
        <v>319</v>
      </c>
      <c r="D102" s="1" t="s">
        <v>317</v>
      </c>
      <c r="E102" s="7">
        <v>232</v>
      </c>
      <c r="F102" s="5">
        <v>1.99</v>
      </c>
      <c r="G102" s="5">
        <f>Tabela13[[#This Row],[QTD]]*Tabela13[[#This Row],[VALOR UNITÁRIO]]</f>
        <v>461.68</v>
      </c>
    </row>
    <row r="103" spans="1:7" ht="15.75" customHeight="1" x14ac:dyDescent="0.25">
      <c r="A103" s="1">
        <v>3</v>
      </c>
      <c r="B103" s="4" t="s">
        <v>320</v>
      </c>
      <c r="C103" s="1" t="s">
        <v>321</v>
      </c>
      <c r="D103" s="1" t="s">
        <v>317</v>
      </c>
      <c r="E103" s="7">
        <v>101</v>
      </c>
      <c r="F103" s="5">
        <v>8.49</v>
      </c>
      <c r="G103" s="5">
        <f>Tabela13[[#This Row],[QTD]]*Tabela13[[#This Row],[VALOR UNITÁRIO]]</f>
        <v>857.49</v>
      </c>
    </row>
    <row r="104" spans="1:7" ht="28.5" x14ac:dyDescent="0.25">
      <c r="A104" s="1">
        <v>4</v>
      </c>
      <c r="B104" s="4" t="s">
        <v>322</v>
      </c>
      <c r="C104" s="1" t="s">
        <v>323</v>
      </c>
      <c r="D104" s="1" t="s">
        <v>324</v>
      </c>
      <c r="E104" s="7">
        <v>13</v>
      </c>
      <c r="F104" s="5">
        <v>32.450000000000003</v>
      </c>
      <c r="G104" s="5">
        <f>Tabela13[[#This Row],[QTD]]*Tabela13[[#This Row],[VALOR UNITÁRIO]]</f>
        <v>421.85</v>
      </c>
    </row>
    <row r="105" spans="1:7" ht="15.75" customHeight="1" x14ac:dyDescent="0.25">
      <c r="A105" s="1">
        <v>5</v>
      </c>
      <c r="B105" s="4" t="s">
        <v>325</v>
      </c>
      <c r="C105" s="1" t="s">
        <v>326</v>
      </c>
      <c r="D105" s="1" t="s">
        <v>3</v>
      </c>
      <c r="E105" s="7">
        <v>50</v>
      </c>
      <c r="F105" s="5">
        <v>9.26</v>
      </c>
      <c r="G105" s="5">
        <f>Tabela13[[#This Row],[QTD]]*Tabela13[[#This Row],[VALOR UNITÁRIO]]</f>
        <v>463</v>
      </c>
    </row>
    <row r="106" spans="1:7" ht="15.75" customHeight="1" x14ac:dyDescent="0.25">
      <c r="A106" s="1">
        <v>6</v>
      </c>
      <c r="B106" s="4" t="s">
        <v>327</v>
      </c>
      <c r="C106" s="1" t="s">
        <v>328</v>
      </c>
      <c r="D106" s="1" t="s">
        <v>3</v>
      </c>
      <c r="E106" s="7">
        <v>3</v>
      </c>
      <c r="F106" s="5">
        <v>24.95</v>
      </c>
      <c r="G106" s="5">
        <f>Tabela13[[#This Row],[QTD]]*Tabela13[[#This Row],[VALOR UNITÁRIO]]</f>
        <v>74.849999999999994</v>
      </c>
    </row>
    <row r="107" spans="1:7" ht="15.75" customHeight="1" x14ac:dyDescent="0.25">
      <c r="A107" s="1">
        <v>7</v>
      </c>
      <c r="B107" s="4" t="s">
        <v>329</v>
      </c>
      <c r="C107" s="1" t="s">
        <v>330</v>
      </c>
      <c r="D107" s="1" t="s">
        <v>3</v>
      </c>
      <c r="E107" s="7">
        <v>3</v>
      </c>
      <c r="F107" s="5">
        <v>13.99</v>
      </c>
      <c r="G107" s="5">
        <f>Tabela13[[#This Row],[QTD]]*Tabela13[[#This Row],[VALOR UNITÁRIO]]</f>
        <v>41.97</v>
      </c>
    </row>
    <row r="108" spans="1:7" ht="15.75" customHeight="1" x14ac:dyDescent="0.25">
      <c r="A108" s="1">
        <v>8</v>
      </c>
      <c r="B108" s="4" t="s">
        <v>331</v>
      </c>
      <c r="C108" s="1" t="s">
        <v>330</v>
      </c>
      <c r="D108" s="1" t="s">
        <v>3</v>
      </c>
      <c r="E108" s="7">
        <v>3</v>
      </c>
      <c r="F108" s="5">
        <v>6.99</v>
      </c>
      <c r="G108" s="5">
        <f>Tabela13[[#This Row],[QTD]]*Tabela13[[#This Row],[VALOR UNITÁRIO]]</f>
        <v>20.97</v>
      </c>
    </row>
    <row r="109" spans="1:7" ht="15.75" customHeight="1" x14ac:dyDescent="0.25">
      <c r="A109" s="1">
        <v>9</v>
      </c>
      <c r="B109" s="4" t="s">
        <v>332</v>
      </c>
      <c r="C109" s="1" t="s">
        <v>333</v>
      </c>
      <c r="D109" s="1" t="s">
        <v>334</v>
      </c>
      <c r="E109" s="7">
        <v>1</v>
      </c>
      <c r="F109" s="5">
        <v>46.14</v>
      </c>
      <c r="G109" s="5">
        <f>Tabela13[[#This Row],[QTD]]*Tabela13[[#This Row],[VALOR UNITÁRIO]]</f>
        <v>46.14</v>
      </c>
    </row>
    <row r="110" spans="1:7" ht="28.5" x14ac:dyDescent="0.25">
      <c r="A110" s="1">
        <v>10</v>
      </c>
      <c r="B110" s="4" t="s">
        <v>335</v>
      </c>
      <c r="C110" s="1" t="s">
        <v>328</v>
      </c>
      <c r="D110" s="1" t="s">
        <v>3</v>
      </c>
      <c r="E110" s="7">
        <v>0</v>
      </c>
      <c r="F110" s="5">
        <v>27</v>
      </c>
      <c r="G110" s="5">
        <f>Tabela13[[#This Row],[QTD]]*Tabela13[[#This Row],[VALOR UNITÁRIO]]</f>
        <v>0</v>
      </c>
    </row>
    <row r="111" spans="1:7" ht="15.75" customHeight="1" x14ac:dyDescent="0.25">
      <c r="A111" s="1">
        <v>11</v>
      </c>
      <c r="B111" s="155" t="s">
        <v>336</v>
      </c>
      <c r="C111" s="1" t="s">
        <v>337</v>
      </c>
      <c r="D111" s="1" t="s">
        <v>3</v>
      </c>
      <c r="E111" s="7">
        <v>1</v>
      </c>
      <c r="F111" s="5">
        <v>19.899999999999999</v>
      </c>
      <c r="G111" s="5">
        <f>Tabela13[[#This Row],[QTD]]*Tabela13[[#This Row],[VALOR UNITÁRIO]]</f>
        <v>19.899999999999999</v>
      </c>
    </row>
    <row r="112" spans="1:7" ht="28.5" x14ac:dyDescent="0.25">
      <c r="A112" s="1">
        <v>12</v>
      </c>
      <c r="B112" s="155" t="s">
        <v>338</v>
      </c>
      <c r="C112" s="1" t="s">
        <v>339</v>
      </c>
      <c r="D112" s="1" t="s">
        <v>334</v>
      </c>
      <c r="E112" s="7">
        <v>15</v>
      </c>
      <c r="F112" s="5">
        <v>34.9</v>
      </c>
      <c r="G112" s="5">
        <f>Tabela13[[#This Row],[QTD]]*Tabela13[[#This Row],[VALOR UNITÁRIO]]</f>
        <v>523.5</v>
      </c>
    </row>
    <row r="113" spans="1:7" ht="28.5" x14ac:dyDescent="0.25">
      <c r="A113" s="1">
        <v>13</v>
      </c>
      <c r="B113" s="4" t="s">
        <v>340</v>
      </c>
      <c r="C113" s="1" t="s">
        <v>337</v>
      </c>
      <c r="D113" s="1" t="s">
        <v>324</v>
      </c>
      <c r="E113" s="7">
        <v>8</v>
      </c>
      <c r="F113" s="5">
        <v>37.07</v>
      </c>
      <c r="G113" s="5">
        <f>Tabela13[[#This Row],[QTD]]*Tabela13[[#This Row],[VALOR UNITÁRIO]]</f>
        <v>296.56</v>
      </c>
    </row>
    <row r="114" spans="1:7" ht="28.5" x14ac:dyDescent="0.25">
      <c r="A114" s="1">
        <v>14</v>
      </c>
      <c r="B114" s="4" t="s">
        <v>341</v>
      </c>
      <c r="C114" s="1" t="s">
        <v>337</v>
      </c>
      <c r="D114" s="1" t="s">
        <v>324</v>
      </c>
      <c r="E114" s="7">
        <v>2</v>
      </c>
      <c r="F114" s="5">
        <v>65.989999999999995</v>
      </c>
      <c r="G114" s="5">
        <f>Tabela13[[#This Row],[QTD]]*Tabela13[[#This Row],[VALOR UNITÁRIO]]</f>
        <v>131.97999999999999</v>
      </c>
    </row>
    <row r="115" spans="1:7" ht="15.75" customHeight="1" x14ac:dyDescent="0.25">
      <c r="A115" s="1">
        <v>15</v>
      </c>
      <c r="B115" s="4" t="s">
        <v>342</v>
      </c>
      <c r="C115" s="1" t="s">
        <v>343</v>
      </c>
      <c r="D115" s="1" t="s">
        <v>317</v>
      </c>
      <c r="E115" s="7">
        <v>3</v>
      </c>
      <c r="F115" s="5">
        <v>12.76</v>
      </c>
      <c r="G115" s="5">
        <f>Tabela13[[#This Row],[QTD]]*Tabela13[[#This Row],[VALOR UNITÁRIO]]</f>
        <v>38.28</v>
      </c>
    </row>
    <row r="116" spans="1:7" ht="15.75" customHeight="1" x14ac:dyDescent="0.25">
      <c r="A116" s="1">
        <v>16</v>
      </c>
      <c r="B116" s="4" t="s">
        <v>344</v>
      </c>
      <c r="C116" s="1" t="s">
        <v>345</v>
      </c>
      <c r="D116" s="1" t="s">
        <v>3</v>
      </c>
      <c r="E116" s="7">
        <v>1</v>
      </c>
      <c r="F116" s="5">
        <v>2.48</v>
      </c>
      <c r="G116" s="5">
        <f>Tabela13[[#This Row],[QTD]]*Tabela13[[#This Row],[VALOR UNITÁRIO]]</f>
        <v>2.48</v>
      </c>
    </row>
    <row r="117" spans="1:7" ht="15.75" customHeight="1" x14ac:dyDescent="0.25">
      <c r="A117" s="1">
        <v>17</v>
      </c>
      <c r="B117" s="4" t="s">
        <v>346</v>
      </c>
      <c r="C117" s="1" t="s">
        <v>345</v>
      </c>
      <c r="D117" s="1" t="s">
        <v>3</v>
      </c>
      <c r="E117" s="7">
        <v>1</v>
      </c>
      <c r="F117" s="5">
        <v>4.6399999999999997</v>
      </c>
      <c r="G117" s="5">
        <f>Tabela13[[#This Row],[QTD]]*Tabela13[[#This Row],[VALOR UNITÁRIO]]</f>
        <v>4.6399999999999997</v>
      </c>
    </row>
    <row r="118" spans="1:7" ht="28.5" x14ac:dyDescent="0.25">
      <c r="A118" s="1">
        <v>18</v>
      </c>
      <c r="B118" s="4" t="s">
        <v>347</v>
      </c>
      <c r="C118" s="1" t="s">
        <v>337</v>
      </c>
      <c r="D118" s="1" t="s">
        <v>324</v>
      </c>
      <c r="E118" s="7">
        <v>7</v>
      </c>
      <c r="F118" s="5">
        <v>30</v>
      </c>
      <c r="G118" s="5">
        <f>Tabela13[[#This Row],[QTD]]*Tabela13[[#This Row],[VALOR UNITÁRIO]]</f>
        <v>210</v>
      </c>
    </row>
    <row r="119" spans="1:7" ht="15.75" customHeight="1" x14ac:dyDescent="0.25">
      <c r="A119" s="1">
        <v>19</v>
      </c>
      <c r="B119" s="155" t="s">
        <v>348</v>
      </c>
      <c r="C119" s="1" t="s">
        <v>349</v>
      </c>
      <c r="D119" s="1" t="s">
        <v>3</v>
      </c>
      <c r="E119" s="7">
        <v>85</v>
      </c>
      <c r="F119" s="5">
        <v>0.94</v>
      </c>
      <c r="G119" s="5">
        <f>Tabela13[[#This Row],[QTD]]*Tabela13[[#This Row],[VALOR UNITÁRIO]]</f>
        <v>79.899999999999991</v>
      </c>
    </row>
    <row r="120" spans="1:7" ht="15.75" customHeight="1" x14ac:dyDescent="0.25">
      <c r="A120" s="1">
        <v>20</v>
      </c>
      <c r="B120" s="155" t="s">
        <v>350</v>
      </c>
      <c r="C120" s="1" t="s">
        <v>415</v>
      </c>
      <c r="D120" s="1" t="s">
        <v>3</v>
      </c>
      <c r="E120" s="7">
        <v>68</v>
      </c>
      <c r="F120" s="5">
        <v>2.9</v>
      </c>
      <c r="G120" s="5">
        <f>Tabela13[[#This Row],[QTD]]*Tabela13[[#This Row],[VALOR UNITÁRIO]]</f>
        <v>197.2</v>
      </c>
    </row>
    <row r="121" spans="1:7" ht="42.75" x14ac:dyDescent="0.25">
      <c r="A121" s="1">
        <v>21</v>
      </c>
      <c r="B121" s="4" t="s">
        <v>351</v>
      </c>
      <c r="C121" s="1" t="s">
        <v>337</v>
      </c>
      <c r="D121" s="1" t="s">
        <v>324</v>
      </c>
      <c r="E121" s="7">
        <v>2</v>
      </c>
      <c r="F121" s="5">
        <v>33.9</v>
      </c>
      <c r="G121" s="5">
        <f>Tabela13[[#This Row],[QTD]]*Tabela13[[#This Row],[VALOR UNITÁRIO]]</f>
        <v>67.8</v>
      </c>
    </row>
    <row r="122" spans="1:7" ht="15.75" customHeight="1" x14ac:dyDescent="0.25">
      <c r="A122" s="1">
        <v>22</v>
      </c>
      <c r="B122" s="4" t="s">
        <v>352</v>
      </c>
      <c r="C122" s="1" t="s">
        <v>353</v>
      </c>
      <c r="D122" s="1" t="s">
        <v>3</v>
      </c>
      <c r="E122" s="7">
        <v>2</v>
      </c>
      <c r="F122" s="5">
        <v>22.95</v>
      </c>
      <c r="G122" s="5">
        <f>Tabela13[[#This Row],[QTD]]*Tabela13[[#This Row],[VALOR UNITÁRIO]]</f>
        <v>45.9</v>
      </c>
    </row>
    <row r="123" spans="1:7" ht="15.75" customHeight="1" x14ac:dyDescent="0.25">
      <c r="A123" s="1">
        <v>23</v>
      </c>
      <c r="B123" s="155" t="s">
        <v>354</v>
      </c>
      <c r="C123" s="1" t="s">
        <v>353</v>
      </c>
      <c r="D123" s="1" t="s">
        <v>3</v>
      </c>
      <c r="E123" s="7">
        <v>2</v>
      </c>
      <c r="F123" s="5">
        <v>27.02</v>
      </c>
      <c r="G123" s="5">
        <f>Tabela13[[#This Row],[QTD]]*Tabela13[[#This Row],[VALOR UNITÁRIO]]</f>
        <v>54.04</v>
      </c>
    </row>
    <row r="124" spans="1:7" ht="15.75" customHeight="1" x14ac:dyDescent="0.25">
      <c r="A124" s="1">
        <v>24</v>
      </c>
      <c r="B124" s="4" t="s">
        <v>355</v>
      </c>
      <c r="C124" s="1" t="s">
        <v>353</v>
      </c>
      <c r="D124" s="1" t="s">
        <v>3</v>
      </c>
      <c r="E124" s="7">
        <v>2</v>
      </c>
      <c r="F124" s="5">
        <v>23.89</v>
      </c>
      <c r="G124" s="5">
        <f>Tabela13[[#This Row],[QTD]]*Tabela13[[#This Row],[VALOR UNITÁRIO]]</f>
        <v>47.78</v>
      </c>
    </row>
    <row r="125" spans="1:7" ht="15.75" customHeight="1" x14ac:dyDescent="0.25">
      <c r="A125" s="1">
        <v>25</v>
      </c>
      <c r="B125" s="4" t="s">
        <v>356</v>
      </c>
      <c r="C125" s="1" t="s">
        <v>353</v>
      </c>
      <c r="D125" s="1" t="s">
        <v>3</v>
      </c>
      <c r="E125" s="7">
        <v>2</v>
      </c>
      <c r="F125" s="5">
        <v>33.85</v>
      </c>
      <c r="G125" s="5">
        <f>Tabela13[[#This Row],[QTD]]*Tabela13[[#This Row],[VALOR UNITÁRIO]]</f>
        <v>67.7</v>
      </c>
    </row>
    <row r="126" spans="1:7" ht="15.75" customHeight="1" x14ac:dyDescent="0.25">
      <c r="A126" s="1">
        <v>26</v>
      </c>
      <c r="B126" s="4" t="s">
        <v>357</v>
      </c>
      <c r="C126" s="1" t="s">
        <v>353</v>
      </c>
      <c r="D126" s="1" t="s">
        <v>3</v>
      </c>
      <c r="E126" s="7">
        <v>2</v>
      </c>
      <c r="F126" s="5">
        <v>41.28</v>
      </c>
      <c r="G126" s="5">
        <f>Tabela13[[#This Row],[QTD]]*Tabela13[[#This Row],[VALOR UNITÁRIO]]</f>
        <v>82.56</v>
      </c>
    </row>
    <row r="127" spans="1:7" ht="15.75" customHeight="1" x14ac:dyDescent="0.25">
      <c r="A127" s="1">
        <v>27</v>
      </c>
      <c r="B127" s="4" t="s">
        <v>358</v>
      </c>
      <c r="C127" s="1" t="s">
        <v>333</v>
      </c>
      <c r="D127" s="1" t="s">
        <v>3</v>
      </c>
      <c r="E127" s="7">
        <v>2</v>
      </c>
      <c r="F127" s="5">
        <v>50</v>
      </c>
      <c r="G127" s="5">
        <f>Tabela13[[#This Row],[QTD]]*Tabela13[[#This Row],[VALOR UNITÁRIO]]</f>
        <v>100</v>
      </c>
    </row>
    <row r="128" spans="1:7" ht="15.75" customHeight="1" x14ac:dyDescent="0.25">
      <c r="A128" s="1">
        <v>28</v>
      </c>
      <c r="B128" s="4" t="s">
        <v>359</v>
      </c>
      <c r="C128" s="1" t="s">
        <v>360</v>
      </c>
      <c r="D128" s="1" t="s">
        <v>3</v>
      </c>
      <c r="E128" s="7">
        <v>2</v>
      </c>
      <c r="F128" s="5">
        <v>13.78</v>
      </c>
      <c r="G128" s="5">
        <f>Tabela13[[#This Row],[QTD]]*Tabela13[[#This Row],[VALOR UNITÁRIO]]</f>
        <v>27.56</v>
      </c>
    </row>
    <row r="129" spans="1:7" ht="15.75" customHeight="1" x14ac:dyDescent="0.25">
      <c r="A129" s="1">
        <v>29</v>
      </c>
      <c r="B129" s="4" t="s">
        <v>361</v>
      </c>
      <c r="C129" s="1" t="s">
        <v>362</v>
      </c>
      <c r="D129" s="1" t="s">
        <v>3</v>
      </c>
      <c r="E129" s="7">
        <v>13</v>
      </c>
      <c r="F129" s="5">
        <v>4.9000000000000004</v>
      </c>
      <c r="G129" s="5">
        <f>Tabela13[[#This Row],[QTD]]*Tabela13[[#This Row],[VALOR UNITÁRIO]]</f>
        <v>63.7</v>
      </c>
    </row>
    <row r="130" spans="1:7" ht="15.75" customHeight="1" x14ac:dyDescent="0.25">
      <c r="A130" s="1">
        <v>30</v>
      </c>
      <c r="B130" s="4" t="s">
        <v>363</v>
      </c>
      <c r="C130" s="1" t="s">
        <v>362</v>
      </c>
      <c r="D130" s="1" t="s">
        <v>3</v>
      </c>
      <c r="E130" s="7">
        <v>2</v>
      </c>
      <c r="F130" s="5">
        <v>3.9</v>
      </c>
      <c r="G130" s="5">
        <f>Tabela13[[#This Row],[QTD]]*Tabela13[[#This Row],[VALOR UNITÁRIO]]</f>
        <v>7.8</v>
      </c>
    </row>
    <row r="131" spans="1:7" ht="15.75" customHeight="1" x14ac:dyDescent="0.25">
      <c r="A131" s="1">
        <v>31</v>
      </c>
      <c r="B131" s="4" t="s">
        <v>364</v>
      </c>
      <c r="C131" s="1" t="s">
        <v>365</v>
      </c>
      <c r="D131" s="1" t="s">
        <v>3</v>
      </c>
      <c r="E131" s="7">
        <v>2</v>
      </c>
      <c r="F131" s="5">
        <v>4.5</v>
      </c>
      <c r="G131" s="5">
        <f>Tabela13[[#This Row],[QTD]]*Tabela13[[#This Row],[VALOR UNITÁRIO]]</f>
        <v>9</v>
      </c>
    </row>
    <row r="132" spans="1:7" ht="15.75" customHeight="1" x14ac:dyDescent="0.25">
      <c r="A132" s="1">
        <v>32</v>
      </c>
      <c r="B132" s="4" t="s">
        <v>366</v>
      </c>
      <c r="C132" s="1" t="s">
        <v>367</v>
      </c>
      <c r="D132" s="1" t="s">
        <v>3</v>
      </c>
      <c r="E132" s="7">
        <v>2</v>
      </c>
      <c r="F132" s="5">
        <v>21.9</v>
      </c>
      <c r="G132" s="5">
        <f>Tabela13[[#This Row],[QTD]]*Tabela13[[#This Row],[VALOR UNITÁRIO]]</f>
        <v>43.8</v>
      </c>
    </row>
    <row r="133" spans="1:7" ht="15.75" customHeight="1" x14ac:dyDescent="0.25">
      <c r="A133" s="1">
        <v>33</v>
      </c>
      <c r="B133" s="4" t="s">
        <v>368</v>
      </c>
      <c r="C133" s="1" t="s">
        <v>365</v>
      </c>
      <c r="D133" s="1" t="s">
        <v>3</v>
      </c>
      <c r="E133" s="7">
        <v>3</v>
      </c>
      <c r="F133" s="5">
        <v>15.73</v>
      </c>
      <c r="G133" s="5">
        <f>Tabela13[[#This Row],[QTD]]*Tabela13[[#This Row],[VALOR UNITÁRIO]]</f>
        <v>47.19</v>
      </c>
    </row>
    <row r="134" spans="1:7" ht="15.75" customHeight="1" x14ac:dyDescent="0.25">
      <c r="A134" s="1">
        <v>34</v>
      </c>
      <c r="B134" s="4" t="s">
        <v>369</v>
      </c>
      <c r="C134" s="1" t="s">
        <v>370</v>
      </c>
      <c r="D134" s="1" t="s">
        <v>3</v>
      </c>
      <c r="E134" s="7">
        <v>13</v>
      </c>
      <c r="F134" s="5">
        <v>5.0999999999999996</v>
      </c>
      <c r="G134" s="5">
        <f>Tabela13[[#This Row],[QTD]]*Tabela13[[#This Row],[VALOR UNITÁRIO]]</f>
        <v>66.3</v>
      </c>
    </row>
    <row r="135" spans="1:7" ht="15.75" customHeight="1" x14ac:dyDescent="0.25">
      <c r="A135" s="1">
        <v>35</v>
      </c>
      <c r="B135" s="4" t="s">
        <v>371</v>
      </c>
      <c r="C135" s="1" t="s">
        <v>353</v>
      </c>
      <c r="D135" s="1" t="s">
        <v>3</v>
      </c>
      <c r="E135" s="7">
        <v>27</v>
      </c>
      <c r="F135" s="5">
        <v>0.65</v>
      </c>
      <c r="G135" s="5">
        <f>Tabela13[[#This Row],[QTD]]*Tabela13[[#This Row],[VALOR UNITÁRIO]]</f>
        <v>17.55</v>
      </c>
    </row>
    <row r="136" spans="1:7" ht="28.5" x14ac:dyDescent="0.25">
      <c r="A136" s="1">
        <v>36</v>
      </c>
      <c r="B136" s="4" t="s">
        <v>372</v>
      </c>
      <c r="C136" s="1" t="s">
        <v>373</v>
      </c>
      <c r="D136" s="1" t="s">
        <v>324</v>
      </c>
      <c r="E136" s="7">
        <v>8</v>
      </c>
      <c r="F136" s="5">
        <v>37.049999999999997</v>
      </c>
      <c r="G136" s="5">
        <f>Tabela13[[#This Row],[QTD]]*Tabela13[[#This Row],[VALOR UNITÁRIO]]</f>
        <v>296.39999999999998</v>
      </c>
    </row>
    <row r="137" spans="1:7" ht="28.5" x14ac:dyDescent="0.25">
      <c r="A137" s="1">
        <v>37</v>
      </c>
      <c r="B137" s="4" t="s">
        <v>374</v>
      </c>
      <c r="C137" s="1" t="s">
        <v>353</v>
      </c>
      <c r="D137" s="1" t="s">
        <v>3</v>
      </c>
      <c r="E137" s="7">
        <v>25</v>
      </c>
      <c r="F137" s="5">
        <v>1.47</v>
      </c>
      <c r="G137" s="5">
        <f>Tabela13[[#This Row],[QTD]]*Tabela13[[#This Row],[VALOR UNITÁRIO]]</f>
        <v>36.75</v>
      </c>
    </row>
    <row r="138" spans="1:7" ht="15.75" customHeight="1" x14ac:dyDescent="0.25">
      <c r="A138" s="1">
        <v>38</v>
      </c>
      <c r="B138" s="4" t="s">
        <v>375</v>
      </c>
      <c r="C138" s="1" t="s">
        <v>376</v>
      </c>
      <c r="D138" s="1" t="s">
        <v>3</v>
      </c>
      <c r="E138" s="7">
        <v>2</v>
      </c>
      <c r="F138" s="5">
        <v>8.06</v>
      </c>
      <c r="G138" s="5">
        <f>Tabela13[[#This Row],[QTD]]*Tabela13[[#This Row],[VALOR UNITÁRIO]]</f>
        <v>16.12</v>
      </c>
    </row>
    <row r="139" spans="1:7" ht="15.75" customHeight="1" x14ac:dyDescent="0.25">
      <c r="A139" s="1">
        <v>39</v>
      </c>
      <c r="B139" s="4" t="s">
        <v>377</v>
      </c>
      <c r="C139" s="1" t="s">
        <v>378</v>
      </c>
      <c r="D139" s="1" t="s">
        <v>379</v>
      </c>
      <c r="E139" s="7">
        <v>17</v>
      </c>
      <c r="F139" s="5">
        <v>1.77</v>
      </c>
      <c r="G139" s="5">
        <f>Tabela13[[#This Row],[QTD]]*Tabela13[[#This Row],[VALOR UNITÁRIO]]</f>
        <v>30.09</v>
      </c>
    </row>
    <row r="140" spans="1:7" ht="15.75" customHeight="1" x14ac:dyDescent="0.25">
      <c r="A140" s="1">
        <v>40</v>
      </c>
      <c r="B140" s="4" t="s">
        <v>380</v>
      </c>
      <c r="C140" s="1" t="s">
        <v>337</v>
      </c>
      <c r="D140" s="1" t="s">
        <v>324</v>
      </c>
      <c r="E140" s="7">
        <v>2</v>
      </c>
      <c r="F140" s="5">
        <v>17.7</v>
      </c>
      <c r="G140" s="5">
        <f>Tabela13[[#This Row],[QTD]]*Tabela13[[#This Row],[VALOR UNITÁRIO]]</f>
        <v>35.4</v>
      </c>
    </row>
    <row r="141" spans="1:7" ht="15.75" customHeight="1" x14ac:dyDescent="0.25">
      <c r="A141" s="1">
        <v>41</v>
      </c>
      <c r="B141" s="4" t="s">
        <v>381</v>
      </c>
      <c r="C141" s="1" t="s">
        <v>337</v>
      </c>
      <c r="D141" s="1" t="s">
        <v>324</v>
      </c>
      <c r="E141" s="7">
        <v>1</v>
      </c>
      <c r="F141" s="5">
        <v>19.510000000000002</v>
      </c>
      <c r="G141" s="5">
        <f>Tabela13[[#This Row],[QTD]]*Tabela13[[#This Row],[VALOR UNITÁRIO]]</f>
        <v>19.510000000000002</v>
      </c>
    </row>
    <row r="142" spans="1:7" ht="15.75" customHeight="1" x14ac:dyDescent="0.25">
      <c r="A142" s="1">
        <v>42</v>
      </c>
      <c r="B142" s="4" t="s">
        <v>382</v>
      </c>
      <c r="C142" s="1" t="s">
        <v>337</v>
      </c>
      <c r="D142" s="1" t="s">
        <v>317</v>
      </c>
      <c r="E142" s="7">
        <v>17</v>
      </c>
      <c r="F142" s="5">
        <v>27</v>
      </c>
      <c r="G142" s="5">
        <f>Tabela13[[#This Row],[QTD]]*Tabela13[[#This Row],[VALOR UNITÁRIO]]</f>
        <v>459</v>
      </c>
    </row>
    <row r="143" spans="1:7" ht="15.75" customHeight="1" x14ac:dyDescent="0.25">
      <c r="A143" s="1">
        <v>43</v>
      </c>
      <c r="B143" s="4" t="s">
        <v>383</v>
      </c>
      <c r="C143" s="1" t="s">
        <v>337</v>
      </c>
      <c r="D143" s="1" t="s">
        <v>317</v>
      </c>
      <c r="E143" s="7">
        <v>25</v>
      </c>
      <c r="F143" s="5">
        <v>15.98</v>
      </c>
      <c r="G143" s="5">
        <f>Tabela13[[#This Row],[QTD]]*Tabela13[[#This Row],[VALOR UNITÁRIO]]</f>
        <v>399.5</v>
      </c>
    </row>
    <row r="144" spans="1:7" ht="28.5" x14ac:dyDescent="0.25">
      <c r="A144" s="1">
        <v>44</v>
      </c>
      <c r="B144" s="4" t="s">
        <v>384</v>
      </c>
      <c r="C144" s="1" t="s">
        <v>337</v>
      </c>
      <c r="D144" s="1" t="s">
        <v>324</v>
      </c>
      <c r="E144" s="7">
        <v>50</v>
      </c>
      <c r="F144" s="5">
        <v>19.95</v>
      </c>
      <c r="G144" s="5">
        <f>Tabela13[[#This Row],[QTD]]*Tabela13[[#This Row],[VALOR UNITÁRIO]]</f>
        <v>997.5</v>
      </c>
    </row>
    <row r="145" spans="1:7" ht="28.5" x14ac:dyDescent="0.25">
      <c r="A145" s="1">
        <v>45</v>
      </c>
      <c r="B145" s="4" t="s">
        <v>385</v>
      </c>
      <c r="C145" s="1" t="s">
        <v>337</v>
      </c>
      <c r="D145" s="1" t="s">
        <v>324</v>
      </c>
      <c r="E145" s="7">
        <v>50</v>
      </c>
      <c r="F145" s="5">
        <v>21</v>
      </c>
      <c r="G145" s="5">
        <f>Tabela13[[#This Row],[QTD]]*Tabela13[[#This Row],[VALOR UNITÁRIO]]</f>
        <v>1050</v>
      </c>
    </row>
    <row r="146" spans="1:7" ht="15.75" customHeight="1" x14ac:dyDescent="0.25">
      <c r="A146" s="1">
        <v>46</v>
      </c>
      <c r="B146" s="4" t="s">
        <v>386</v>
      </c>
      <c r="C146" s="1" t="s">
        <v>337</v>
      </c>
      <c r="D146" s="1" t="s">
        <v>3</v>
      </c>
      <c r="E146" s="7">
        <v>30</v>
      </c>
      <c r="F146" s="5">
        <v>6.22</v>
      </c>
      <c r="G146" s="5">
        <f>Tabela13[[#This Row],[QTD]]*Tabela13[[#This Row],[VALOR UNITÁRIO]]</f>
        <v>186.6</v>
      </c>
    </row>
    <row r="147" spans="1:7" ht="15.75" customHeight="1" x14ac:dyDescent="0.25">
      <c r="A147" s="1">
        <v>47</v>
      </c>
      <c r="B147" s="4" t="s">
        <v>387</v>
      </c>
      <c r="C147" s="1" t="s">
        <v>388</v>
      </c>
      <c r="D147" s="1" t="s">
        <v>389</v>
      </c>
      <c r="E147" s="7">
        <v>47</v>
      </c>
      <c r="F147" s="5">
        <v>5.54</v>
      </c>
      <c r="G147" s="5">
        <f>Tabela13[[#This Row],[QTD]]*Tabela13[[#This Row],[VALOR UNITÁRIO]]</f>
        <v>260.38</v>
      </c>
    </row>
    <row r="148" spans="1:7" ht="15.75" customHeight="1" x14ac:dyDescent="0.25">
      <c r="A148" s="1">
        <v>48</v>
      </c>
      <c r="B148" s="4" t="s">
        <v>390</v>
      </c>
      <c r="C148" s="1" t="s">
        <v>388</v>
      </c>
      <c r="D148" s="1" t="s">
        <v>389</v>
      </c>
      <c r="E148" s="7">
        <v>47</v>
      </c>
      <c r="F148" s="5">
        <v>3.8</v>
      </c>
      <c r="G148" s="5">
        <f>Tabela13[[#This Row],[QTD]]*Tabela13[[#This Row],[VALOR UNITÁRIO]]</f>
        <v>178.6</v>
      </c>
    </row>
    <row r="149" spans="1:7" ht="15.75" customHeight="1" x14ac:dyDescent="0.25">
      <c r="A149" s="1">
        <v>49</v>
      </c>
      <c r="B149" s="4" t="s">
        <v>391</v>
      </c>
      <c r="C149" s="1" t="s">
        <v>392</v>
      </c>
      <c r="D149" s="1" t="s">
        <v>3</v>
      </c>
      <c r="E149" s="7">
        <v>5</v>
      </c>
      <c r="F149" s="5">
        <v>6.73</v>
      </c>
      <c r="G149" s="5">
        <f>Tabela13[[#This Row],[QTD]]*Tabela13[[#This Row],[VALOR UNITÁRIO]]</f>
        <v>33.650000000000006</v>
      </c>
    </row>
    <row r="150" spans="1:7" ht="15.75" customHeight="1" x14ac:dyDescent="0.25">
      <c r="A150" s="1">
        <v>50</v>
      </c>
      <c r="B150" s="4" t="s">
        <v>393</v>
      </c>
      <c r="C150" s="1" t="s">
        <v>345</v>
      </c>
      <c r="D150" s="1" t="s">
        <v>3</v>
      </c>
      <c r="E150" s="7">
        <v>1</v>
      </c>
      <c r="F150" s="5">
        <v>9.69</v>
      </c>
      <c r="G150" s="5">
        <f>Tabela13[[#This Row],[QTD]]*Tabela13[[#This Row],[VALOR UNITÁRIO]]</f>
        <v>9.69</v>
      </c>
    </row>
    <row r="151" spans="1:7" ht="28.5" x14ac:dyDescent="0.25">
      <c r="A151" s="1">
        <v>51</v>
      </c>
      <c r="B151" s="4" t="s">
        <v>394</v>
      </c>
      <c r="C151" s="1" t="s">
        <v>328</v>
      </c>
      <c r="D151" s="1" t="s">
        <v>3</v>
      </c>
      <c r="E151" s="7">
        <v>1</v>
      </c>
      <c r="F151" s="5">
        <v>29.9</v>
      </c>
      <c r="G151" s="5">
        <f>Tabela13[[#This Row],[QTD]]*Tabela13[[#This Row],[VALOR UNITÁRIO]]</f>
        <v>29.9</v>
      </c>
    </row>
    <row r="152" spans="1:7" ht="15.75" customHeight="1" x14ac:dyDescent="0.25">
      <c r="A152" s="1">
        <v>52</v>
      </c>
      <c r="B152" s="4" t="s">
        <v>395</v>
      </c>
      <c r="C152" s="1" t="s">
        <v>396</v>
      </c>
      <c r="D152" s="1" t="s">
        <v>379</v>
      </c>
      <c r="E152" s="7">
        <v>8</v>
      </c>
      <c r="F152" s="5">
        <v>13.53</v>
      </c>
      <c r="G152" s="5">
        <f>Tabela13[[#This Row],[QTD]]*Tabela13[[#This Row],[VALOR UNITÁRIO]]</f>
        <v>108.24</v>
      </c>
    </row>
    <row r="153" spans="1:7" ht="25.5" customHeight="1" x14ac:dyDescent="0.25">
      <c r="A153" s="128" t="s">
        <v>311</v>
      </c>
      <c r="B153" s="128" t="s">
        <v>2</v>
      </c>
      <c r="C153" s="128" t="s">
        <v>312</v>
      </c>
      <c r="D153" s="128" t="s">
        <v>313</v>
      </c>
      <c r="E153" s="128" t="s">
        <v>4</v>
      </c>
      <c r="F153" s="129" t="s">
        <v>5</v>
      </c>
      <c r="G153" s="129" t="s">
        <v>314</v>
      </c>
    </row>
    <row r="154" spans="1:7" ht="28.5" x14ac:dyDescent="0.25">
      <c r="A154" s="1">
        <v>53</v>
      </c>
      <c r="B154" s="4" t="s">
        <v>397</v>
      </c>
      <c r="C154" s="1" t="s">
        <v>398</v>
      </c>
      <c r="D154" s="1" t="s">
        <v>399</v>
      </c>
      <c r="E154" s="7">
        <v>3406</v>
      </c>
      <c r="F154" s="5">
        <v>0.91</v>
      </c>
      <c r="G154" s="5">
        <f>Tabela13[[#This Row],[QTD]]*Tabela13[[#This Row],[VALOR UNITÁRIO]]</f>
        <v>3099.46</v>
      </c>
    </row>
    <row r="155" spans="1:7" ht="28.5" x14ac:dyDescent="0.25">
      <c r="A155" s="1">
        <v>54</v>
      </c>
      <c r="B155" s="155" t="s">
        <v>400</v>
      </c>
      <c r="C155" s="1" t="s">
        <v>401</v>
      </c>
      <c r="D155" s="1" t="s">
        <v>402</v>
      </c>
      <c r="E155" s="7">
        <v>426</v>
      </c>
      <c r="F155" s="5">
        <v>8.86</v>
      </c>
      <c r="G155" s="5">
        <f>Tabela13[[#This Row],[QTD]]*Tabela13[[#This Row],[VALOR UNITÁRIO]]</f>
        <v>3774.3599999999997</v>
      </c>
    </row>
    <row r="156" spans="1:7" ht="15.75" customHeight="1" x14ac:dyDescent="0.25">
      <c r="A156" s="1">
        <v>55</v>
      </c>
      <c r="B156" s="4" t="s">
        <v>403</v>
      </c>
      <c r="C156" s="1" t="s">
        <v>404</v>
      </c>
      <c r="D156" s="1" t="s">
        <v>3</v>
      </c>
      <c r="E156" s="7">
        <v>17</v>
      </c>
      <c r="F156" s="5">
        <v>3.95</v>
      </c>
      <c r="G156" s="5">
        <f>Tabela13[[#This Row],[QTD]]*Tabela13[[#This Row],[VALOR UNITÁRIO]]</f>
        <v>67.150000000000006</v>
      </c>
    </row>
    <row r="157" spans="1:7" ht="15.75" customHeight="1" x14ac:dyDescent="0.25">
      <c r="A157" s="1">
        <v>56</v>
      </c>
      <c r="B157" s="4" t="s">
        <v>405</v>
      </c>
      <c r="C157" s="1" t="s">
        <v>406</v>
      </c>
      <c r="D157" s="1" t="s">
        <v>3</v>
      </c>
      <c r="E157" s="7">
        <v>67</v>
      </c>
      <c r="F157" s="5">
        <v>4.96</v>
      </c>
      <c r="G157" s="5">
        <f>Tabela13[[#This Row],[QTD]]*Tabela13[[#This Row],[VALOR UNITÁRIO]]</f>
        <v>332.32</v>
      </c>
    </row>
    <row r="158" spans="1:7" ht="15.75" customHeight="1" x14ac:dyDescent="0.25">
      <c r="A158" s="1">
        <v>57</v>
      </c>
      <c r="B158" s="4" t="s">
        <v>407</v>
      </c>
      <c r="C158" s="1" t="s">
        <v>408</v>
      </c>
      <c r="D158" s="1" t="s">
        <v>3</v>
      </c>
      <c r="E158" s="7">
        <v>5</v>
      </c>
      <c r="F158" s="5">
        <v>10.9</v>
      </c>
      <c r="G158" s="5">
        <f>Tabela13[[#This Row],[QTD]]*Tabela13[[#This Row],[VALOR UNITÁRIO]]</f>
        <v>54.5</v>
      </c>
    </row>
    <row r="159" spans="1:7" ht="15.75" customHeight="1" x14ac:dyDescent="0.25">
      <c r="A159" s="1">
        <v>58</v>
      </c>
      <c r="B159" s="4" t="s">
        <v>409</v>
      </c>
      <c r="C159" s="1" t="s">
        <v>409</v>
      </c>
      <c r="D159" s="1" t="s">
        <v>410</v>
      </c>
      <c r="E159" s="7">
        <v>5</v>
      </c>
      <c r="F159" s="5">
        <v>32.53</v>
      </c>
      <c r="G159" s="5">
        <f>Tabela13[[#This Row],[QTD]]*Tabela13[[#This Row],[VALOR UNITÁRIO]]</f>
        <v>162.65</v>
      </c>
    </row>
    <row r="160" spans="1:7" ht="15.75" customHeight="1" x14ac:dyDescent="0.25">
      <c r="A160" s="1">
        <v>59</v>
      </c>
      <c r="B160" s="155" t="s">
        <v>411</v>
      </c>
      <c r="C160" s="1" t="s">
        <v>412</v>
      </c>
      <c r="D160" s="1" t="s">
        <v>413</v>
      </c>
      <c r="E160" s="7">
        <v>2</v>
      </c>
      <c r="F160" s="5">
        <v>4.34</v>
      </c>
      <c r="G160" s="5">
        <f>Tabela13[[#This Row],[QTD]]*Tabela13[[#This Row],[VALOR UNITÁRIO]]</f>
        <v>8.68</v>
      </c>
    </row>
    <row r="161" spans="1:7" ht="42.75" x14ac:dyDescent="0.25">
      <c r="A161" s="1">
        <v>60</v>
      </c>
      <c r="B161" s="155" t="s">
        <v>414</v>
      </c>
      <c r="C161" s="1" t="s">
        <v>415</v>
      </c>
      <c r="D161" s="1" t="s">
        <v>402</v>
      </c>
      <c r="E161" s="7">
        <v>8</v>
      </c>
      <c r="F161" s="5">
        <v>11</v>
      </c>
      <c r="G161" s="5">
        <f>Tabela13[[#This Row],[QTD]]*Tabela13[[#This Row],[VALOR UNITÁRIO]]</f>
        <v>88</v>
      </c>
    </row>
    <row r="162" spans="1:7" ht="42.75" x14ac:dyDescent="0.25">
      <c r="A162" s="1">
        <v>61</v>
      </c>
      <c r="B162" s="4" t="s">
        <v>416</v>
      </c>
      <c r="C162" s="1" t="s">
        <v>328</v>
      </c>
      <c r="D162" s="1" t="s">
        <v>3</v>
      </c>
      <c r="E162" s="7">
        <v>2</v>
      </c>
      <c r="F162" s="5">
        <v>12.54</v>
      </c>
      <c r="G162" s="5">
        <f>Tabela13[[#This Row],[QTD]]*Tabela13[[#This Row],[VALOR UNITÁRIO]]</f>
        <v>25.08</v>
      </c>
    </row>
    <row r="163" spans="1:7" ht="42.75" x14ac:dyDescent="0.25">
      <c r="A163" s="1">
        <v>62</v>
      </c>
      <c r="B163" s="4" t="s">
        <v>417</v>
      </c>
      <c r="C163" s="1" t="s">
        <v>328</v>
      </c>
      <c r="D163" s="1" t="s">
        <v>3</v>
      </c>
      <c r="E163" s="7">
        <v>3</v>
      </c>
      <c r="F163" s="5">
        <v>13.19</v>
      </c>
      <c r="G163" s="5">
        <f>Tabela13[[#This Row],[QTD]]*Tabela13[[#This Row],[VALOR UNITÁRIO]]</f>
        <v>39.57</v>
      </c>
    </row>
    <row r="164" spans="1:7" ht="28.5" x14ac:dyDescent="0.25">
      <c r="A164" s="1">
        <v>63</v>
      </c>
      <c r="B164" s="4" t="s">
        <v>418</v>
      </c>
      <c r="C164" s="1" t="s">
        <v>419</v>
      </c>
      <c r="D164" s="1" t="s">
        <v>3</v>
      </c>
      <c r="E164" s="7">
        <v>3</v>
      </c>
      <c r="F164" s="5">
        <v>15.69</v>
      </c>
      <c r="G164" s="5">
        <f>Tabela13[[#This Row],[QTD]]*Tabela13[[#This Row],[VALOR UNITÁRIO]]</f>
        <v>47.07</v>
      </c>
    </row>
    <row r="165" spans="1:7" ht="28.5" x14ac:dyDescent="0.25">
      <c r="A165" s="1">
        <v>64</v>
      </c>
      <c r="B165" s="4" t="s">
        <v>420</v>
      </c>
      <c r="C165" s="1" t="s">
        <v>419</v>
      </c>
      <c r="D165" s="1" t="s">
        <v>3</v>
      </c>
      <c r="E165" s="7">
        <v>3</v>
      </c>
      <c r="F165" s="5">
        <v>20.9</v>
      </c>
      <c r="G165" s="5">
        <f>Tabela13[[#This Row],[QTD]]*Tabela13[[#This Row],[VALOR UNITÁRIO]]</f>
        <v>62.699999999999996</v>
      </c>
    </row>
    <row r="166" spans="1:7" ht="15.75" customHeight="1" x14ac:dyDescent="0.25">
      <c r="A166" s="1">
        <v>65</v>
      </c>
      <c r="B166" s="4" t="s">
        <v>421</v>
      </c>
      <c r="C166" s="1" t="s">
        <v>422</v>
      </c>
      <c r="D166" s="1" t="s">
        <v>3</v>
      </c>
      <c r="E166" s="7">
        <v>3</v>
      </c>
      <c r="F166" s="5">
        <v>11.16</v>
      </c>
      <c r="G166" s="5">
        <f>Tabela13[[#This Row],[QTD]]*Tabela13[[#This Row],[VALOR UNITÁRIO]]</f>
        <v>33.480000000000004</v>
      </c>
    </row>
    <row r="167" spans="1:7" ht="15.75" customHeight="1" x14ac:dyDescent="0.25">
      <c r="A167" s="1">
        <v>66</v>
      </c>
      <c r="B167" s="4" t="s">
        <v>423</v>
      </c>
      <c r="C167" s="1" t="s">
        <v>424</v>
      </c>
      <c r="D167" s="1" t="s">
        <v>317</v>
      </c>
      <c r="E167" s="7">
        <v>3</v>
      </c>
      <c r="F167" s="5">
        <v>15.19</v>
      </c>
      <c r="G167" s="5">
        <f>Tabela13[[#This Row],[QTD]]*Tabela13[[#This Row],[VALOR UNITÁRIO]]</f>
        <v>45.57</v>
      </c>
    </row>
    <row r="168" spans="1:7" ht="28.5" x14ac:dyDescent="0.25">
      <c r="A168" s="1">
        <v>67</v>
      </c>
      <c r="B168" s="4" t="s">
        <v>425</v>
      </c>
      <c r="C168" s="1" t="s">
        <v>426</v>
      </c>
      <c r="D168" s="1" t="s">
        <v>324</v>
      </c>
      <c r="E168" s="7">
        <v>17</v>
      </c>
      <c r="F168" s="5">
        <v>25.76</v>
      </c>
      <c r="G168" s="5">
        <f>Tabela13[[#This Row],[QTD]]*Tabela13[[#This Row],[VALOR UNITÁRIO]]</f>
        <v>437.92</v>
      </c>
    </row>
    <row r="169" spans="1:7" ht="15.75" customHeight="1" x14ac:dyDescent="0.25">
      <c r="A169" s="1">
        <v>68</v>
      </c>
      <c r="B169" s="4" t="s">
        <v>427</v>
      </c>
      <c r="C169" s="1" t="s">
        <v>428</v>
      </c>
      <c r="D169" s="1" t="s">
        <v>324</v>
      </c>
      <c r="E169" s="7">
        <v>27</v>
      </c>
      <c r="F169" s="5">
        <v>32.380000000000003</v>
      </c>
      <c r="G169" s="5">
        <f>Tabela13[[#This Row],[QTD]]*Tabela13[[#This Row],[VALOR UNITÁRIO]]</f>
        <v>874.2600000000001</v>
      </c>
    </row>
    <row r="170" spans="1:7" ht="15.75" customHeight="1" x14ac:dyDescent="0.25">
      <c r="A170" s="1">
        <v>69</v>
      </c>
      <c r="B170" s="4" t="s">
        <v>429</v>
      </c>
      <c r="C170" s="1" t="s">
        <v>345</v>
      </c>
      <c r="D170" s="1" t="s">
        <v>3</v>
      </c>
      <c r="E170" s="7">
        <v>3</v>
      </c>
      <c r="F170" s="5">
        <v>8.4600000000000009</v>
      </c>
      <c r="G170" s="5">
        <f>Tabela13[[#This Row],[QTD]]*Tabela13[[#This Row],[VALOR UNITÁRIO]]</f>
        <v>25.380000000000003</v>
      </c>
    </row>
    <row r="171" spans="1:7" ht="15.75" customHeight="1" x14ac:dyDescent="0.25">
      <c r="A171" s="1">
        <v>70</v>
      </c>
      <c r="B171" s="4" t="s">
        <v>430</v>
      </c>
      <c r="C171" s="1" t="s">
        <v>345</v>
      </c>
      <c r="D171" s="1" t="s">
        <v>3</v>
      </c>
      <c r="E171" s="7">
        <v>3</v>
      </c>
      <c r="F171" s="5">
        <v>21</v>
      </c>
      <c r="G171" s="5">
        <f>Tabela13[[#This Row],[QTD]]*Tabela13[[#This Row],[VALOR UNITÁRIO]]</f>
        <v>63</v>
      </c>
    </row>
    <row r="172" spans="1:7" ht="15.75" customHeight="1" x14ac:dyDescent="0.25">
      <c r="A172" s="1">
        <v>71</v>
      </c>
      <c r="B172" s="4" t="s">
        <v>431</v>
      </c>
      <c r="C172" s="1" t="s">
        <v>345</v>
      </c>
      <c r="D172" s="1" t="s">
        <v>3</v>
      </c>
      <c r="E172" s="7">
        <v>3</v>
      </c>
      <c r="F172" s="5">
        <v>9.9</v>
      </c>
      <c r="G172" s="5">
        <f>Tabela13[[#This Row],[QTD]]*Tabela13[[#This Row],[VALOR UNITÁRIO]]</f>
        <v>29.700000000000003</v>
      </c>
    </row>
    <row r="173" spans="1:7" ht="15.75" customHeight="1" x14ac:dyDescent="0.25">
      <c r="A173" s="1">
        <v>72</v>
      </c>
      <c r="B173" s="4" t="s">
        <v>432</v>
      </c>
      <c r="C173" s="1" t="s">
        <v>345</v>
      </c>
      <c r="D173" s="1" t="s">
        <v>3</v>
      </c>
      <c r="E173" s="7">
        <v>3</v>
      </c>
      <c r="F173" s="5">
        <v>12.6</v>
      </c>
      <c r="G173" s="5">
        <f>Tabela13[[#This Row],[QTD]]*Tabela13[[#This Row],[VALOR UNITÁRIO]]</f>
        <v>37.799999999999997</v>
      </c>
    </row>
    <row r="174" spans="1:7" ht="15.75" customHeight="1" x14ac:dyDescent="0.25">
      <c r="A174" s="1">
        <v>73</v>
      </c>
      <c r="B174" s="4" t="s">
        <v>433</v>
      </c>
      <c r="C174" s="1" t="s">
        <v>434</v>
      </c>
      <c r="D174" s="1" t="s">
        <v>3</v>
      </c>
      <c r="E174" s="7">
        <v>67</v>
      </c>
      <c r="F174" s="5">
        <v>1.38</v>
      </c>
      <c r="G174" s="5">
        <f>Tabela13[[#This Row],[QTD]]*Tabela13[[#This Row],[VALOR UNITÁRIO]]</f>
        <v>92.46</v>
      </c>
    </row>
    <row r="175" spans="1:7" ht="15.75" customHeight="1" x14ac:dyDescent="0.25">
      <c r="A175" s="1">
        <v>74</v>
      </c>
      <c r="B175" s="4" t="s">
        <v>435</v>
      </c>
      <c r="C175" s="1" t="s">
        <v>436</v>
      </c>
      <c r="D175" s="1" t="s">
        <v>410</v>
      </c>
      <c r="E175" s="7">
        <v>12</v>
      </c>
      <c r="F175" s="5">
        <v>4.9000000000000004</v>
      </c>
      <c r="G175" s="5">
        <f>Tabela13[[#This Row],[QTD]]*Tabela13[[#This Row],[VALOR UNITÁRIO]]</f>
        <v>58.800000000000004</v>
      </c>
    </row>
    <row r="176" spans="1:7" ht="28.5" x14ac:dyDescent="0.25">
      <c r="A176" s="1">
        <v>75</v>
      </c>
      <c r="B176" s="4" t="s">
        <v>437</v>
      </c>
      <c r="C176" s="1" t="s">
        <v>337</v>
      </c>
      <c r="D176" s="1" t="s">
        <v>324</v>
      </c>
      <c r="E176" s="7">
        <v>5</v>
      </c>
      <c r="F176" s="5">
        <v>29.9</v>
      </c>
      <c r="G176" s="5">
        <f>Tabela13[[#This Row],[QTD]]*Tabela13[[#This Row],[VALOR UNITÁRIO]]</f>
        <v>149.5</v>
      </c>
    </row>
    <row r="177" spans="1:7" ht="15.75" customHeight="1" x14ac:dyDescent="0.25">
      <c r="A177" s="1">
        <v>76</v>
      </c>
      <c r="B177" s="4" t="s">
        <v>438</v>
      </c>
      <c r="C177" s="1" t="s">
        <v>415</v>
      </c>
      <c r="D177" s="1" t="s">
        <v>3</v>
      </c>
      <c r="E177" s="7">
        <v>119</v>
      </c>
      <c r="F177" s="5">
        <v>6.8</v>
      </c>
      <c r="G177" s="5">
        <f>Tabela13[[#This Row],[QTD]]*Tabela13[[#This Row],[VALOR UNITÁRIO]]</f>
        <v>809.19999999999993</v>
      </c>
    </row>
    <row r="178" spans="1:7" ht="28.5" x14ac:dyDescent="0.25">
      <c r="A178" s="1">
        <v>77</v>
      </c>
      <c r="B178" s="4" t="s">
        <v>439</v>
      </c>
      <c r="C178" s="1" t="s">
        <v>440</v>
      </c>
      <c r="D178" s="1" t="s">
        <v>402</v>
      </c>
      <c r="E178" s="7">
        <v>2</v>
      </c>
      <c r="F178" s="5">
        <v>27.47</v>
      </c>
      <c r="G178" s="5">
        <f>Tabela13[[#This Row],[QTD]]*Tabela13[[#This Row],[VALOR UNITÁRIO]]</f>
        <v>54.94</v>
      </c>
    </row>
    <row r="179" spans="1:7" ht="28.5" x14ac:dyDescent="0.25">
      <c r="A179" s="1">
        <v>78</v>
      </c>
      <c r="B179" s="4" t="s">
        <v>441</v>
      </c>
      <c r="C179" s="1" t="s">
        <v>440</v>
      </c>
      <c r="D179" s="1" t="s">
        <v>402</v>
      </c>
      <c r="E179" s="7">
        <v>2</v>
      </c>
      <c r="F179" s="5">
        <v>13.57</v>
      </c>
      <c r="G179" s="5">
        <f>Tabela13[[#This Row],[QTD]]*Tabela13[[#This Row],[VALOR UNITÁRIO]]</f>
        <v>27.14</v>
      </c>
    </row>
    <row r="180" spans="1:7" ht="28.5" x14ac:dyDescent="0.25">
      <c r="A180" s="1">
        <v>79</v>
      </c>
      <c r="B180" s="4" t="s">
        <v>442</v>
      </c>
      <c r="C180" s="1" t="s">
        <v>443</v>
      </c>
      <c r="D180" s="1" t="s">
        <v>3</v>
      </c>
      <c r="E180" s="7">
        <v>85</v>
      </c>
      <c r="F180" s="5">
        <v>1.82</v>
      </c>
      <c r="G180" s="5">
        <f>Tabela13[[#This Row],[QTD]]*Tabela13[[#This Row],[VALOR UNITÁRIO]]</f>
        <v>154.70000000000002</v>
      </c>
    </row>
    <row r="181" spans="1:7" ht="28.5" x14ac:dyDescent="0.25">
      <c r="A181" s="1">
        <v>80</v>
      </c>
      <c r="B181" s="155" t="s">
        <v>444</v>
      </c>
      <c r="C181" s="1" t="s">
        <v>445</v>
      </c>
      <c r="D181" s="1" t="s">
        <v>379</v>
      </c>
      <c r="E181" s="7">
        <v>4</v>
      </c>
      <c r="F181" s="5">
        <v>14.1</v>
      </c>
      <c r="G181" s="5">
        <f>Tabela13[[#This Row],[QTD]]*Tabela13[[#This Row],[VALOR UNITÁRIO]]</f>
        <v>56.4</v>
      </c>
    </row>
    <row r="182" spans="1:7" ht="28.5" x14ac:dyDescent="0.25">
      <c r="A182" s="1">
        <v>81</v>
      </c>
      <c r="B182" s="4" t="s">
        <v>446</v>
      </c>
      <c r="C182" s="1" t="s">
        <v>440</v>
      </c>
      <c r="D182" s="1" t="s">
        <v>402</v>
      </c>
      <c r="E182" s="7">
        <v>33</v>
      </c>
      <c r="F182" s="5">
        <v>35.99</v>
      </c>
      <c r="G182" s="5">
        <f>Tabela13[[#This Row],[QTD]]*Tabela13[[#This Row],[VALOR UNITÁRIO]]</f>
        <v>1187.67</v>
      </c>
    </row>
    <row r="183" spans="1:7" ht="28.5" x14ac:dyDescent="0.25">
      <c r="A183" s="1">
        <v>82</v>
      </c>
      <c r="B183" s="4" t="s">
        <v>447</v>
      </c>
      <c r="C183" s="1" t="s">
        <v>440</v>
      </c>
      <c r="D183" s="1" t="s">
        <v>402</v>
      </c>
      <c r="E183" s="7">
        <v>42</v>
      </c>
      <c r="F183" s="5">
        <v>14.9</v>
      </c>
      <c r="G183" s="5">
        <f>Tabela13[[#This Row],[QTD]]*Tabela13[[#This Row],[VALOR UNITÁRIO]]</f>
        <v>625.80000000000007</v>
      </c>
    </row>
    <row r="184" spans="1:7" ht="15.75" customHeight="1" x14ac:dyDescent="0.25">
      <c r="A184" s="1">
        <v>83</v>
      </c>
      <c r="B184" s="155" t="s">
        <v>448</v>
      </c>
      <c r="C184" s="1" t="s">
        <v>449</v>
      </c>
      <c r="D184" s="1" t="s">
        <v>3</v>
      </c>
      <c r="E184" s="7">
        <v>34</v>
      </c>
      <c r="F184" s="5">
        <v>2.75</v>
      </c>
      <c r="G184" s="5">
        <f>Tabela13[[#This Row],[QTD]]*Tabela13[[#This Row],[VALOR UNITÁRIO]]</f>
        <v>93.5</v>
      </c>
    </row>
    <row r="185" spans="1:7" ht="15.75" customHeight="1" x14ac:dyDescent="0.25">
      <c r="A185" s="1">
        <v>84</v>
      </c>
      <c r="B185" s="155" t="s">
        <v>450</v>
      </c>
      <c r="C185" s="1" t="s">
        <v>424</v>
      </c>
      <c r="D185" s="1" t="s">
        <v>317</v>
      </c>
      <c r="E185" s="7">
        <v>2</v>
      </c>
      <c r="F185" s="5">
        <v>10.83</v>
      </c>
      <c r="G185" s="5">
        <f>Tabela13[[#This Row],[QTD]]*Tabela13[[#This Row],[VALOR UNITÁRIO]]</f>
        <v>21.66</v>
      </c>
    </row>
    <row r="186" spans="1:7" ht="15.75" customHeight="1" x14ac:dyDescent="0.25">
      <c r="A186" s="1">
        <v>85</v>
      </c>
      <c r="B186" s="4" t="s">
        <v>451</v>
      </c>
      <c r="C186" s="1" t="s">
        <v>452</v>
      </c>
      <c r="D186" s="1" t="s">
        <v>3</v>
      </c>
      <c r="E186" s="7">
        <v>2</v>
      </c>
      <c r="F186" s="5">
        <v>32.33</v>
      </c>
      <c r="G186" s="5">
        <f>Tabela13[[#This Row],[QTD]]*Tabela13[[#This Row],[VALOR UNITÁRIO]]</f>
        <v>64.66</v>
      </c>
    </row>
    <row r="187" spans="1:7" ht="15.75" customHeight="1" x14ac:dyDescent="0.25">
      <c r="A187" s="1">
        <v>86</v>
      </c>
      <c r="B187" s="4" t="s">
        <v>453</v>
      </c>
      <c r="C187" s="1" t="s">
        <v>345</v>
      </c>
      <c r="D187" s="1" t="s">
        <v>3</v>
      </c>
      <c r="E187" s="7">
        <v>2</v>
      </c>
      <c r="F187" s="5">
        <v>12.99</v>
      </c>
      <c r="G187" s="5">
        <f>Tabela13[[#This Row],[QTD]]*Tabela13[[#This Row],[VALOR UNITÁRIO]]</f>
        <v>25.98</v>
      </c>
    </row>
    <row r="188" spans="1:7" ht="15.75" customHeight="1" x14ac:dyDescent="0.25">
      <c r="A188" s="1">
        <v>87</v>
      </c>
      <c r="B188" s="4" t="s">
        <v>454</v>
      </c>
      <c r="C188" s="1" t="s">
        <v>345</v>
      </c>
      <c r="D188" s="1" t="s">
        <v>3</v>
      </c>
      <c r="E188" s="7">
        <v>7</v>
      </c>
      <c r="F188" s="5">
        <v>10.91</v>
      </c>
      <c r="G188" s="5">
        <f>Tabela13[[#This Row],[QTD]]*Tabela13[[#This Row],[VALOR UNITÁRIO]]</f>
        <v>76.37</v>
      </c>
    </row>
    <row r="189" spans="1:7" ht="15.75" customHeight="1" x14ac:dyDescent="0.25">
      <c r="A189" s="1">
        <v>88</v>
      </c>
      <c r="B189" s="4" t="s">
        <v>455</v>
      </c>
      <c r="C189" s="1" t="s">
        <v>345</v>
      </c>
      <c r="D189" s="1" t="s">
        <v>3</v>
      </c>
      <c r="E189" s="7">
        <v>7</v>
      </c>
      <c r="F189" s="5">
        <v>12.86</v>
      </c>
      <c r="G189" s="5">
        <f>Tabela13[[#This Row],[QTD]]*Tabela13[[#This Row],[VALOR UNITÁRIO]]</f>
        <v>90.02</v>
      </c>
    </row>
    <row r="190" spans="1:7" ht="15.75" customHeight="1" x14ac:dyDescent="0.25">
      <c r="A190" s="1">
        <v>89</v>
      </c>
      <c r="B190" s="4" t="s">
        <v>456</v>
      </c>
      <c r="C190" s="1" t="s">
        <v>345</v>
      </c>
      <c r="D190" s="1" t="s">
        <v>3</v>
      </c>
      <c r="E190" s="7">
        <v>7</v>
      </c>
      <c r="F190" s="5">
        <v>6.59</v>
      </c>
      <c r="G190" s="5">
        <f>Tabela13[[#This Row],[QTD]]*Tabela13[[#This Row],[VALOR UNITÁRIO]]</f>
        <v>46.129999999999995</v>
      </c>
    </row>
    <row r="191" spans="1:7" ht="15.75" customHeight="1" x14ac:dyDescent="0.25">
      <c r="A191" s="1">
        <v>90</v>
      </c>
      <c r="B191" s="4" t="s">
        <v>457</v>
      </c>
      <c r="C191" s="1" t="s">
        <v>452</v>
      </c>
      <c r="D191" s="1" t="s">
        <v>410</v>
      </c>
      <c r="E191" s="7">
        <v>2</v>
      </c>
      <c r="F191" s="5">
        <v>34</v>
      </c>
      <c r="G191" s="5">
        <f>Tabela13[[#This Row],[QTD]]*Tabela13[[#This Row],[VALOR UNITÁRIO]]</f>
        <v>68</v>
      </c>
    </row>
    <row r="192" spans="1:7" ht="15.75" customHeight="1" x14ac:dyDescent="0.25">
      <c r="A192" s="1">
        <v>91</v>
      </c>
      <c r="B192" s="4" t="s">
        <v>458</v>
      </c>
      <c r="C192" s="1" t="s">
        <v>452</v>
      </c>
      <c r="D192" s="1" t="s">
        <v>317</v>
      </c>
      <c r="E192" s="7">
        <v>2</v>
      </c>
      <c r="F192" s="5">
        <v>54.94</v>
      </c>
      <c r="G192" s="5">
        <f>Tabela13[[#This Row],[QTD]]*Tabela13[[#This Row],[VALOR UNITÁRIO]]</f>
        <v>109.88</v>
      </c>
    </row>
    <row r="193" spans="1:7" ht="15.75" customHeight="1" x14ac:dyDescent="0.25">
      <c r="A193" s="1">
        <v>92</v>
      </c>
      <c r="B193" s="155" t="s">
        <v>459</v>
      </c>
      <c r="C193" s="1" t="s">
        <v>452</v>
      </c>
      <c r="D193" s="1" t="s">
        <v>3</v>
      </c>
      <c r="E193" s="7">
        <v>75</v>
      </c>
      <c r="F193" s="5">
        <v>1.06</v>
      </c>
      <c r="G193" s="5">
        <f>Tabela13[[#This Row],[QTD]]*Tabela13[[#This Row],[VALOR UNITÁRIO]]</f>
        <v>79.5</v>
      </c>
    </row>
    <row r="194" spans="1:7" ht="25.5" customHeight="1" x14ac:dyDescent="0.25">
      <c r="A194" s="232" t="s">
        <v>460</v>
      </c>
      <c r="B194" s="232"/>
      <c r="C194" s="232"/>
      <c r="D194" s="232"/>
      <c r="E194" s="232"/>
      <c r="F194" s="232"/>
      <c r="G194" s="6">
        <f>SUM(Tabela13[VALOR TOTAL])</f>
        <v>21999.339999999997</v>
      </c>
    </row>
    <row r="197" spans="1:7" ht="25.5" customHeight="1" x14ac:dyDescent="0.25">
      <c r="A197" s="232" t="s">
        <v>462</v>
      </c>
      <c r="B197" s="232"/>
      <c r="C197" s="232"/>
      <c r="D197" s="232"/>
      <c r="E197" s="232"/>
      <c r="F197" s="232"/>
      <c r="G197" s="232"/>
    </row>
    <row r="198" spans="1:7" ht="25.5" customHeight="1" x14ac:dyDescent="0.25">
      <c r="A198" s="2" t="s">
        <v>463</v>
      </c>
      <c r="B198" s="2" t="s">
        <v>2</v>
      </c>
      <c r="C198" s="2" t="s">
        <v>312</v>
      </c>
      <c r="D198" s="2" t="s">
        <v>313</v>
      </c>
      <c r="E198" s="2" t="s">
        <v>4</v>
      </c>
      <c r="F198" s="3" t="s">
        <v>5</v>
      </c>
      <c r="G198" s="3" t="s">
        <v>314</v>
      </c>
    </row>
    <row r="199" spans="1:7" x14ac:dyDescent="0.25">
      <c r="A199" s="1">
        <v>1</v>
      </c>
      <c r="B199" s="4" t="s">
        <v>315</v>
      </c>
      <c r="C199" s="1" t="s">
        <v>316</v>
      </c>
      <c r="D199" s="1" t="s">
        <v>317</v>
      </c>
      <c r="E199" s="7">
        <v>1</v>
      </c>
      <c r="F199" s="5">
        <v>4.99</v>
      </c>
      <c r="G199" s="5">
        <f>Tabela134[[#This Row],[QTD]]*Tabela134[[#This Row],[VALOR UNITÁRIO]]</f>
        <v>4.99</v>
      </c>
    </row>
    <row r="200" spans="1:7" ht="85.5" x14ac:dyDescent="0.25">
      <c r="A200" s="1">
        <v>2</v>
      </c>
      <c r="B200" s="4" t="s">
        <v>464</v>
      </c>
      <c r="C200" s="1" t="s">
        <v>465</v>
      </c>
      <c r="D200" s="1" t="s">
        <v>324</v>
      </c>
      <c r="E200" s="7">
        <v>1</v>
      </c>
      <c r="F200" s="456">
        <v>180</v>
      </c>
      <c r="G200" s="5">
        <f>Tabela134[[#This Row],[QTD]]*Tabela134[[#This Row],[VALOR UNITÁRIO]]</f>
        <v>180</v>
      </c>
    </row>
    <row r="201" spans="1:7" x14ac:dyDescent="0.25">
      <c r="A201" s="1">
        <v>3</v>
      </c>
      <c r="B201" s="4" t="s">
        <v>318</v>
      </c>
      <c r="C201" s="1" t="s">
        <v>319</v>
      </c>
      <c r="D201" s="1" t="s">
        <v>317</v>
      </c>
      <c r="E201" s="7">
        <v>140</v>
      </c>
      <c r="F201" s="5">
        <v>1.99</v>
      </c>
      <c r="G201" s="5">
        <f>Tabela134[[#This Row],[QTD]]*Tabela134[[#This Row],[VALOR UNITÁRIO]]</f>
        <v>278.60000000000002</v>
      </c>
    </row>
    <row r="202" spans="1:7" x14ac:dyDescent="0.25">
      <c r="A202" s="1">
        <v>4</v>
      </c>
      <c r="B202" s="4" t="s">
        <v>466</v>
      </c>
      <c r="C202" s="1" t="s">
        <v>467</v>
      </c>
      <c r="D202" s="1" t="s">
        <v>317</v>
      </c>
      <c r="E202" s="7">
        <v>69</v>
      </c>
      <c r="F202" s="456">
        <v>3.49</v>
      </c>
      <c r="G202" s="5">
        <f>Tabela134[[#This Row],[QTD]]*Tabela134[[#This Row],[VALOR UNITÁRIO]]</f>
        <v>240.81</v>
      </c>
    </row>
    <row r="203" spans="1:7" x14ac:dyDescent="0.25">
      <c r="A203" s="1">
        <v>5</v>
      </c>
      <c r="B203" s="4" t="s">
        <v>468</v>
      </c>
      <c r="C203" s="1" t="s">
        <v>469</v>
      </c>
      <c r="D203" s="1" t="s">
        <v>317</v>
      </c>
      <c r="E203" s="7">
        <v>6</v>
      </c>
      <c r="F203" s="456">
        <v>33</v>
      </c>
      <c r="G203" s="5">
        <f>Tabela134[[#This Row],[QTD]]*Tabela134[[#This Row],[VALOR UNITÁRIO]]</f>
        <v>198</v>
      </c>
    </row>
    <row r="204" spans="1:7" x14ac:dyDescent="0.25">
      <c r="A204" s="1">
        <v>6</v>
      </c>
      <c r="B204" s="4" t="s">
        <v>320</v>
      </c>
      <c r="C204" s="1" t="s">
        <v>321</v>
      </c>
      <c r="D204" s="1" t="s">
        <v>317</v>
      </c>
      <c r="E204" s="7">
        <v>61</v>
      </c>
      <c r="F204" s="5">
        <v>8.49</v>
      </c>
      <c r="G204" s="5">
        <f>Tabela134[[#This Row],[QTD]]*Tabela134[[#This Row],[VALOR UNITÁRIO]]</f>
        <v>517.89</v>
      </c>
    </row>
    <row r="205" spans="1:7" ht="28.5" x14ac:dyDescent="0.25">
      <c r="A205" s="1">
        <v>7</v>
      </c>
      <c r="B205" s="4" t="s">
        <v>322</v>
      </c>
      <c r="C205" s="1" t="s">
        <v>323</v>
      </c>
      <c r="D205" s="1" t="s">
        <v>324</v>
      </c>
      <c r="E205" s="7">
        <v>8</v>
      </c>
      <c r="F205" s="5">
        <v>32.450000000000003</v>
      </c>
      <c r="G205" s="5">
        <f>Tabela134[[#This Row],[QTD]]*Tabela134[[#This Row],[VALOR UNITÁRIO]]</f>
        <v>259.60000000000002</v>
      </c>
    </row>
    <row r="206" spans="1:7" x14ac:dyDescent="0.25">
      <c r="A206" s="1">
        <v>8</v>
      </c>
      <c r="B206" s="4" t="s">
        <v>325</v>
      </c>
      <c r="C206" s="1" t="s">
        <v>326</v>
      </c>
      <c r="D206" s="1" t="s">
        <v>3</v>
      </c>
      <c r="E206" s="7">
        <v>30</v>
      </c>
      <c r="F206" s="5">
        <v>9.26</v>
      </c>
      <c r="G206" s="5">
        <f>Tabela134[[#This Row],[QTD]]*Tabela134[[#This Row],[VALOR UNITÁRIO]]</f>
        <v>277.8</v>
      </c>
    </row>
    <row r="207" spans="1:7" x14ac:dyDescent="0.25">
      <c r="A207" s="1">
        <v>9</v>
      </c>
      <c r="B207" s="4" t="s">
        <v>327</v>
      </c>
      <c r="C207" s="1" t="s">
        <v>328</v>
      </c>
      <c r="D207" s="1" t="s">
        <v>3</v>
      </c>
      <c r="E207" s="7">
        <v>2</v>
      </c>
      <c r="F207" s="5">
        <v>24.95</v>
      </c>
      <c r="G207" s="5">
        <f>Tabela134[[#This Row],[QTD]]*Tabela134[[#This Row],[VALOR UNITÁRIO]]</f>
        <v>49.9</v>
      </c>
    </row>
    <row r="208" spans="1:7" x14ac:dyDescent="0.25">
      <c r="A208" s="1">
        <v>10</v>
      </c>
      <c r="B208" s="4" t="s">
        <v>329</v>
      </c>
      <c r="C208" s="1" t="s">
        <v>330</v>
      </c>
      <c r="D208" s="1" t="s">
        <v>3</v>
      </c>
      <c r="E208" s="7">
        <v>2</v>
      </c>
      <c r="F208" s="5">
        <v>13.99</v>
      </c>
      <c r="G208" s="5">
        <f>Tabela134[[#This Row],[QTD]]*Tabela134[[#This Row],[VALOR UNITÁRIO]]</f>
        <v>27.98</v>
      </c>
    </row>
    <row r="209" spans="1:7" x14ac:dyDescent="0.25">
      <c r="A209" s="1">
        <v>11</v>
      </c>
      <c r="B209" s="4" t="s">
        <v>331</v>
      </c>
      <c r="C209" s="1" t="s">
        <v>330</v>
      </c>
      <c r="D209" s="1" t="s">
        <v>3</v>
      </c>
      <c r="E209" s="7">
        <v>2</v>
      </c>
      <c r="F209" s="5">
        <v>6.99</v>
      </c>
      <c r="G209" s="5">
        <f>Tabela134[[#This Row],[QTD]]*Tabela134[[#This Row],[VALOR UNITÁRIO]]</f>
        <v>13.98</v>
      </c>
    </row>
    <row r="210" spans="1:7" ht="28.5" x14ac:dyDescent="0.25">
      <c r="A210" s="1">
        <v>12</v>
      </c>
      <c r="B210" s="4" t="s">
        <v>470</v>
      </c>
      <c r="C210" s="1" t="s">
        <v>471</v>
      </c>
      <c r="D210" s="1" t="s">
        <v>472</v>
      </c>
      <c r="E210" s="7">
        <v>29</v>
      </c>
      <c r="F210" s="456">
        <v>9.9</v>
      </c>
      <c r="G210" s="5">
        <f>Tabela134[[#This Row],[QTD]]*Tabela134[[#This Row],[VALOR UNITÁRIO]]</f>
        <v>287.10000000000002</v>
      </c>
    </row>
    <row r="211" spans="1:7" x14ac:dyDescent="0.25">
      <c r="A211" s="1">
        <v>13</v>
      </c>
      <c r="B211" s="4" t="s">
        <v>332</v>
      </c>
      <c r="C211" s="1" t="s">
        <v>333</v>
      </c>
      <c r="D211" s="1" t="s">
        <v>334</v>
      </c>
      <c r="E211" s="7">
        <v>1</v>
      </c>
      <c r="F211" s="5">
        <v>46.14</v>
      </c>
      <c r="G211" s="5">
        <f>Tabela134[[#This Row],[QTD]]*Tabela134[[#This Row],[VALOR UNITÁRIO]]</f>
        <v>46.14</v>
      </c>
    </row>
    <row r="212" spans="1:7" ht="28.5" x14ac:dyDescent="0.25">
      <c r="A212" s="1">
        <v>14</v>
      </c>
      <c r="B212" s="155" t="s">
        <v>338</v>
      </c>
      <c r="C212" s="1" t="s">
        <v>339</v>
      </c>
      <c r="D212" s="1" t="s">
        <v>334</v>
      </c>
      <c r="E212" s="7">
        <v>10</v>
      </c>
      <c r="F212" s="5">
        <v>34.9</v>
      </c>
      <c r="G212" s="5">
        <f>Tabela134[[#This Row],[QTD]]*Tabela134[[#This Row],[VALOR UNITÁRIO]]</f>
        <v>349</v>
      </c>
    </row>
    <row r="213" spans="1:7" ht="28.5" x14ac:dyDescent="0.25">
      <c r="A213" s="1">
        <v>15</v>
      </c>
      <c r="B213" s="4" t="s">
        <v>340</v>
      </c>
      <c r="C213" s="1" t="s">
        <v>337</v>
      </c>
      <c r="D213" s="1" t="s">
        <v>324</v>
      </c>
      <c r="E213" s="7">
        <v>5</v>
      </c>
      <c r="F213" s="5">
        <v>37.07</v>
      </c>
      <c r="G213" s="5">
        <f>Tabela134[[#This Row],[QTD]]*Tabela134[[#This Row],[VALOR UNITÁRIO]]</f>
        <v>185.35</v>
      </c>
    </row>
    <row r="214" spans="1:7" ht="28.5" x14ac:dyDescent="0.25">
      <c r="A214" s="1">
        <v>16</v>
      </c>
      <c r="B214" s="4" t="s">
        <v>341</v>
      </c>
      <c r="C214" s="1" t="s">
        <v>337</v>
      </c>
      <c r="D214" s="1" t="s">
        <v>324</v>
      </c>
      <c r="E214" s="7">
        <v>1</v>
      </c>
      <c r="F214" s="5">
        <v>65.989999999999995</v>
      </c>
      <c r="G214" s="5">
        <f>Tabela134[[#This Row],[QTD]]*Tabela134[[#This Row],[VALOR UNITÁRIO]]</f>
        <v>65.989999999999995</v>
      </c>
    </row>
    <row r="215" spans="1:7" x14ac:dyDescent="0.25">
      <c r="A215" s="1">
        <v>17</v>
      </c>
      <c r="B215" s="4" t="s">
        <v>342</v>
      </c>
      <c r="C215" s="1" t="s">
        <v>343</v>
      </c>
      <c r="D215" s="1" t="s">
        <v>317</v>
      </c>
      <c r="E215" s="7">
        <v>2</v>
      </c>
      <c r="F215" s="5">
        <v>12.76</v>
      </c>
      <c r="G215" s="5">
        <f>Tabela134[[#This Row],[QTD]]*Tabela134[[#This Row],[VALOR UNITÁRIO]]</f>
        <v>25.52</v>
      </c>
    </row>
    <row r="216" spans="1:7" ht="28.5" x14ac:dyDescent="0.25">
      <c r="A216" s="1">
        <v>18</v>
      </c>
      <c r="B216" s="4" t="s">
        <v>347</v>
      </c>
      <c r="C216" s="1" t="s">
        <v>337</v>
      </c>
      <c r="D216" s="1" t="s">
        <v>324</v>
      </c>
      <c r="E216" s="7">
        <v>4</v>
      </c>
      <c r="F216" s="5">
        <v>30</v>
      </c>
      <c r="G216" s="5">
        <f>Tabela134[[#This Row],[QTD]]*Tabela134[[#This Row],[VALOR UNITÁRIO]]</f>
        <v>120</v>
      </c>
    </row>
    <row r="217" spans="1:7" x14ac:dyDescent="0.25">
      <c r="A217" s="1">
        <v>19</v>
      </c>
      <c r="B217" s="155" t="s">
        <v>348</v>
      </c>
      <c r="C217" s="1" t="s">
        <v>349</v>
      </c>
      <c r="D217" s="1" t="s">
        <v>3</v>
      </c>
      <c r="E217" s="7">
        <v>51</v>
      </c>
      <c r="F217" s="5">
        <v>0.94</v>
      </c>
      <c r="G217" s="5">
        <f>Tabela134[[#This Row],[QTD]]*Tabela134[[#This Row],[VALOR UNITÁRIO]]</f>
        <v>47.94</v>
      </c>
    </row>
    <row r="218" spans="1:7" x14ac:dyDescent="0.25">
      <c r="A218" s="1">
        <v>20</v>
      </c>
      <c r="B218" s="155" t="s">
        <v>350</v>
      </c>
      <c r="C218" s="1" t="s">
        <v>415</v>
      </c>
      <c r="D218" s="1" t="s">
        <v>3</v>
      </c>
      <c r="E218" s="7">
        <v>41</v>
      </c>
      <c r="F218" s="5">
        <v>2.9</v>
      </c>
      <c r="G218" s="5">
        <f>Tabela134[[#This Row],[QTD]]*Tabela134[[#This Row],[VALOR UNITÁRIO]]</f>
        <v>118.89999999999999</v>
      </c>
    </row>
    <row r="219" spans="1:7" ht="71.25" x14ac:dyDescent="0.25">
      <c r="A219" s="1">
        <v>21</v>
      </c>
      <c r="B219" s="155" t="s">
        <v>473</v>
      </c>
      <c r="C219" s="1" t="s">
        <v>474</v>
      </c>
      <c r="D219" s="1" t="s">
        <v>324</v>
      </c>
      <c r="E219" s="7">
        <v>3</v>
      </c>
      <c r="F219" s="456">
        <v>89.9</v>
      </c>
      <c r="G219" s="5">
        <f>Tabela134[[#This Row],[QTD]]*Tabela134[[#This Row],[VALOR UNITÁRIO]]</f>
        <v>269.70000000000005</v>
      </c>
    </row>
    <row r="220" spans="1:7" ht="42.75" x14ac:dyDescent="0.25">
      <c r="A220" s="1">
        <v>22</v>
      </c>
      <c r="B220" s="4" t="s">
        <v>351</v>
      </c>
      <c r="C220" s="1" t="s">
        <v>337</v>
      </c>
      <c r="D220" s="1" t="s">
        <v>324</v>
      </c>
      <c r="E220" s="7">
        <v>1</v>
      </c>
      <c r="F220" s="5">
        <v>33.9</v>
      </c>
      <c r="G220" s="5">
        <f>Tabela134[[#This Row],[QTD]]*Tabela134[[#This Row],[VALOR UNITÁRIO]]</f>
        <v>33.9</v>
      </c>
    </row>
    <row r="221" spans="1:7" x14ac:dyDescent="0.25">
      <c r="A221" s="1">
        <v>23</v>
      </c>
      <c r="B221" s="4" t="s">
        <v>352</v>
      </c>
      <c r="C221" s="1" t="s">
        <v>353</v>
      </c>
      <c r="D221" s="1" t="s">
        <v>3</v>
      </c>
      <c r="E221" s="7">
        <v>1</v>
      </c>
      <c r="F221" s="5">
        <v>22.95</v>
      </c>
      <c r="G221" s="5">
        <f>Tabela134[[#This Row],[QTD]]*Tabela134[[#This Row],[VALOR UNITÁRIO]]</f>
        <v>22.95</v>
      </c>
    </row>
    <row r="222" spans="1:7" x14ac:dyDescent="0.25">
      <c r="A222" s="1">
        <v>24</v>
      </c>
      <c r="B222" s="155" t="s">
        <v>354</v>
      </c>
      <c r="C222" s="1" t="s">
        <v>353</v>
      </c>
      <c r="D222" s="1" t="s">
        <v>3</v>
      </c>
      <c r="E222" s="7">
        <v>1</v>
      </c>
      <c r="F222" s="5">
        <v>27.02</v>
      </c>
      <c r="G222" s="5">
        <f>Tabela134[[#This Row],[QTD]]*Tabela134[[#This Row],[VALOR UNITÁRIO]]</f>
        <v>27.02</v>
      </c>
    </row>
    <row r="223" spans="1:7" x14ac:dyDescent="0.25">
      <c r="A223" s="1">
        <v>25</v>
      </c>
      <c r="B223" s="4" t="s">
        <v>355</v>
      </c>
      <c r="C223" s="1" t="s">
        <v>353</v>
      </c>
      <c r="D223" s="1" t="s">
        <v>3</v>
      </c>
      <c r="E223" s="7">
        <v>1</v>
      </c>
      <c r="F223" s="5">
        <v>23.89</v>
      </c>
      <c r="G223" s="5">
        <f>Tabela134[[#This Row],[QTD]]*Tabela134[[#This Row],[VALOR UNITÁRIO]]</f>
        <v>23.89</v>
      </c>
    </row>
    <row r="224" spans="1:7" x14ac:dyDescent="0.25">
      <c r="A224" s="1">
        <v>26</v>
      </c>
      <c r="B224" s="4" t="s">
        <v>356</v>
      </c>
      <c r="C224" s="1" t="s">
        <v>353</v>
      </c>
      <c r="D224" s="1" t="s">
        <v>3</v>
      </c>
      <c r="E224" s="7">
        <v>1</v>
      </c>
      <c r="F224" s="5">
        <v>33.85</v>
      </c>
      <c r="G224" s="5">
        <f>Tabela134[[#This Row],[QTD]]*Tabela134[[#This Row],[VALOR UNITÁRIO]]</f>
        <v>33.85</v>
      </c>
    </row>
    <row r="225" spans="1:7" x14ac:dyDescent="0.25">
      <c r="A225" s="1">
        <v>27</v>
      </c>
      <c r="B225" s="4" t="s">
        <v>357</v>
      </c>
      <c r="C225" s="1" t="s">
        <v>353</v>
      </c>
      <c r="D225" s="1" t="s">
        <v>3</v>
      </c>
      <c r="E225" s="7">
        <v>1</v>
      </c>
      <c r="F225" s="5">
        <v>41.28</v>
      </c>
      <c r="G225" s="5">
        <f>Tabela134[[#This Row],[QTD]]*Tabela134[[#This Row],[VALOR UNITÁRIO]]</f>
        <v>41.28</v>
      </c>
    </row>
    <row r="226" spans="1:7" x14ac:dyDescent="0.25">
      <c r="A226" s="1">
        <v>28</v>
      </c>
      <c r="B226" s="4" t="s">
        <v>358</v>
      </c>
      <c r="C226" s="1" t="s">
        <v>333</v>
      </c>
      <c r="D226" s="1" t="s">
        <v>3</v>
      </c>
      <c r="E226" s="7">
        <v>1</v>
      </c>
      <c r="F226" s="5">
        <v>50</v>
      </c>
      <c r="G226" s="5">
        <f>Tabela134[[#This Row],[QTD]]*Tabela134[[#This Row],[VALOR UNITÁRIO]]</f>
        <v>50</v>
      </c>
    </row>
    <row r="227" spans="1:7" x14ac:dyDescent="0.25">
      <c r="A227" s="1">
        <v>29</v>
      </c>
      <c r="B227" s="4" t="s">
        <v>359</v>
      </c>
      <c r="C227" s="1" t="s">
        <v>360</v>
      </c>
      <c r="D227" s="1" t="s">
        <v>3</v>
      </c>
      <c r="E227" s="7">
        <v>1</v>
      </c>
      <c r="F227" s="5">
        <v>13.78</v>
      </c>
      <c r="G227" s="5">
        <f>Tabela134[[#This Row],[QTD]]*Tabela134[[#This Row],[VALOR UNITÁRIO]]</f>
        <v>13.78</v>
      </c>
    </row>
    <row r="228" spans="1:7" ht="28.5" x14ac:dyDescent="0.25">
      <c r="A228" s="1">
        <v>30</v>
      </c>
      <c r="B228" s="4" t="s">
        <v>475</v>
      </c>
      <c r="C228" s="1" t="s">
        <v>362</v>
      </c>
      <c r="D228" s="1" t="s">
        <v>3</v>
      </c>
      <c r="E228" s="1">
        <v>8</v>
      </c>
      <c r="F228" s="5">
        <v>4.9000000000000004</v>
      </c>
      <c r="G228" s="5">
        <f>Tabela134[[#This Row],[QTD]]*Tabela134[[#This Row],[VALOR UNITÁRIO]]</f>
        <v>39.200000000000003</v>
      </c>
    </row>
    <row r="229" spans="1:7" x14ac:dyDescent="0.25">
      <c r="A229" s="1">
        <v>31</v>
      </c>
      <c r="B229" s="4" t="s">
        <v>363</v>
      </c>
      <c r="C229" s="1" t="s">
        <v>362</v>
      </c>
      <c r="D229" s="1" t="s">
        <v>3</v>
      </c>
      <c r="E229" s="7">
        <v>1</v>
      </c>
      <c r="F229" s="5">
        <v>3.9</v>
      </c>
      <c r="G229" s="5">
        <f>Tabela134[[#This Row],[QTD]]*Tabela134[[#This Row],[VALOR UNITÁRIO]]</f>
        <v>3.9</v>
      </c>
    </row>
    <row r="230" spans="1:7" x14ac:dyDescent="0.25">
      <c r="A230" s="1">
        <v>32</v>
      </c>
      <c r="B230" s="4" t="s">
        <v>364</v>
      </c>
      <c r="C230" s="1" t="s">
        <v>365</v>
      </c>
      <c r="D230" s="1" t="s">
        <v>3</v>
      </c>
      <c r="E230" s="7">
        <v>1</v>
      </c>
      <c r="F230" s="5">
        <v>4.5</v>
      </c>
      <c r="G230" s="5">
        <f>Tabela134[[#This Row],[QTD]]*Tabela134[[#This Row],[VALOR UNITÁRIO]]</f>
        <v>4.5</v>
      </c>
    </row>
    <row r="231" spans="1:7" x14ac:dyDescent="0.25">
      <c r="A231" s="1">
        <v>33</v>
      </c>
      <c r="B231" s="4" t="s">
        <v>366</v>
      </c>
      <c r="C231" s="1" t="s">
        <v>367</v>
      </c>
      <c r="D231" s="1" t="s">
        <v>3</v>
      </c>
      <c r="E231" s="7">
        <v>1</v>
      </c>
      <c r="F231" s="5">
        <v>21.9</v>
      </c>
      <c r="G231" s="5">
        <f>Tabela134[[#This Row],[QTD]]*Tabela134[[#This Row],[VALOR UNITÁRIO]]</f>
        <v>21.9</v>
      </c>
    </row>
    <row r="232" spans="1:7" x14ac:dyDescent="0.25">
      <c r="A232" s="1">
        <v>34</v>
      </c>
      <c r="B232" s="4" t="s">
        <v>368</v>
      </c>
      <c r="C232" s="1" t="s">
        <v>365</v>
      </c>
      <c r="D232" s="1" t="s">
        <v>3</v>
      </c>
      <c r="E232" s="7">
        <v>2</v>
      </c>
      <c r="F232" s="5">
        <v>15.73</v>
      </c>
      <c r="G232" s="5">
        <f>Tabela134[[#This Row],[QTD]]*Tabela134[[#This Row],[VALOR UNITÁRIO]]</f>
        <v>31.46</v>
      </c>
    </row>
    <row r="233" spans="1:7" x14ac:dyDescent="0.25">
      <c r="A233" s="1">
        <v>35</v>
      </c>
      <c r="B233" s="4" t="s">
        <v>369</v>
      </c>
      <c r="C233" s="1" t="s">
        <v>370</v>
      </c>
      <c r="D233" s="1" t="s">
        <v>3</v>
      </c>
      <c r="E233" s="7">
        <v>8</v>
      </c>
      <c r="F233" s="5">
        <v>5.0999999999999996</v>
      </c>
      <c r="G233" s="5">
        <f>Tabela134[[#This Row],[QTD]]*Tabela134[[#This Row],[VALOR UNITÁRIO]]</f>
        <v>40.799999999999997</v>
      </c>
    </row>
    <row r="234" spans="1:7" x14ac:dyDescent="0.25">
      <c r="A234" s="1">
        <v>36</v>
      </c>
      <c r="B234" s="4" t="s">
        <v>371</v>
      </c>
      <c r="C234" s="1" t="s">
        <v>353</v>
      </c>
      <c r="D234" s="1" t="s">
        <v>3</v>
      </c>
      <c r="E234" s="7">
        <v>16</v>
      </c>
      <c r="F234" s="5">
        <v>0.65</v>
      </c>
      <c r="G234" s="5">
        <f>Tabela134[[#This Row],[QTD]]*Tabela134[[#This Row],[VALOR UNITÁRIO]]</f>
        <v>10.4</v>
      </c>
    </row>
    <row r="235" spans="1:7" ht="28.5" x14ac:dyDescent="0.25">
      <c r="A235" s="1">
        <v>37</v>
      </c>
      <c r="B235" s="4" t="s">
        <v>372</v>
      </c>
      <c r="C235" s="1" t="s">
        <v>373</v>
      </c>
      <c r="D235" s="1" t="s">
        <v>324</v>
      </c>
      <c r="E235" s="7">
        <v>5</v>
      </c>
      <c r="F235" s="5">
        <v>37.049999999999997</v>
      </c>
      <c r="G235" s="5">
        <f>Tabela134[[#This Row],[QTD]]*Tabela134[[#This Row],[VALOR UNITÁRIO]]</f>
        <v>185.25</v>
      </c>
    </row>
    <row r="236" spans="1:7" ht="28.5" x14ac:dyDescent="0.25">
      <c r="A236" s="1">
        <v>38</v>
      </c>
      <c r="B236" s="4" t="s">
        <v>374</v>
      </c>
      <c r="C236" s="1" t="s">
        <v>353</v>
      </c>
      <c r="D236" s="1" t="s">
        <v>3</v>
      </c>
      <c r="E236" s="7">
        <v>15</v>
      </c>
      <c r="F236" s="5">
        <v>1.47</v>
      </c>
      <c r="G236" s="5">
        <f>Tabela134[[#This Row],[QTD]]*Tabela134[[#This Row],[VALOR UNITÁRIO]]</f>
        <v>22.05</v>
      </c>
    </row>
    <row r="237" spans="1:7" ht="28.5" x14ac:dyDescent="0.25">
      <c r="A237" s="1">
        <v>39</v>
      </c>
      <c r="B237" s="4" t="s">
        <v>476</v>
      </c>
      <c r="C237" s="1" t="s">
        <v>465</v>
      </c>
      <c r="D237" s="1" t="s">
        <v>324</v>
      </c>
      <c r="E237" s="7">
        <v>19</v>
      </c>
      <c r="F237" s="456">
        <v>45.76</v>
      </c>
      <c r="G237" s="5">
        <f>Tabela134[[#This Row],[QTD]]*Tabela134[[#This Row],[VALOR UNITÁRIO]]</f>
        <v>869.43999999999994</v>
      </c>
    </row>
    <row r="238" spans="1:7" x14ac:dyDescent="0.25">
      <c r="A238" s="1">
        <v>40</v>
      </c>
      <c r="B238" s="4" t="s">
        <v>375</v>
      </c>
      <c r="C238" s="1" t="s">
        <v>376</v>
      </c>
      <c r="D238" s="1" t="s">
        <v>3</v>
      </c>
      <c r="E238" s="7">
        <v>1</v>
      </c>
      <c r="F238" s="5">
        <v>8.06</v>
      </c>
      <c r="G238" s="5">
        <f>Tabela134[[#This Row],[QTD]]*Tabela134[[#This Row],[VALOR UNITÁRIO]]</f>
        <v>8.06</v>
      </c>
    </row>
    <row r="239" spans="1:7" x14ac:dyDescent="0.25">
      <c r="A239" s="1">
        <v>41</v>
      </c>
      <c r="B239" s="4" t="s">
        <v>377</v>
      </c>
      <c r="C239" s="1" t="s">
        <v>378</v>
      </c>
      <c r="D239" s="1" t="s">
        <v>379</v>
      </c>
      <c r="E239" s="7">
        <v>10</v>
      </c>
      <c r="F239" s="5">
        <v>1.77</v>
      </c>
      <c r="G239" s="5">
        <f>Tabela134[[#This Row],[QTD]]*Tabela134[[#This Row],[VALOR UNITÁRIO]]</f>
        <v>17.7</v>
      </c>
    </row>
    <row r="240" spans="1:7" x14ac:dyDescent="0.25">
      <c r="A240" s="1">
        <v>42</v>
      </c>
      <c r="B240" s="4" t="s">
        <v>380</v>
      </c>
      <c r="C240" s="1" t="s">
        <v>337</v>
      </c>
      <c r="D240" s="1" t="s">
        <v>324</v>
      </c>
      <c r="E240" s="7">
        <v>1</v>
      </c>
      <c r="F240" s="5">
        <v>17.7</v>
      </c>
      <c r="G240" s="5">
        <f>Tabela134[[#This Row],[QTD]]*Tabela134[[#This Row],[VALOR UNITÁRIO]]</f>
        <v>17.7</v>
      </c>
    </row>
    <row r="241" spans="1:7" x14ac:dyDescent="0.25">
      <c r="A241" s="1">
        <v>43</v>
      </c>
      <c r="B241" s="4" t="s">
        <v>382</v>
      </c>
      <c r="C241" s="1" t="s">
        <v>337</v>
      </c>
      <c r="D241" s="1" t="s">
        <v>317</v>
      </c>
      <c r="E241" s="7">
        <v>10</v>
      </c>
      <c r="F241" s="5">
        <v>27</v>
      </c>
      <c r="G241" s="5">
        <f>Tabela134[[#This Row],[QTD]]*Tabela134[[#This Row],[VALOR UNITÁRIO]]</f>
        <v>270</v>
      </c>
    </row>
    <row r="242" spans="1:7" x14ac:dyDescent="0.25">
      <c r="A242" s="1">
        <v>44</v>
      </c>
      <c r="B242" s="4" t="s">
        <v>383</v>
      </c>
      <c r="C242" s="1" t="s">
        <v>337</v>
      </c>
      <c r="D242" s="1" t="s">
        <v>317</v>
      </c>
      <c r="E242" s="7">
        <v>15</v>
      </c>
      <c r="F242" s="5">
        <v>15.98</v>
      </c>
      <c r="G242" s="5">
        <f>Tabela134[[#This Row],[QTD]]*Tabela134[[#This Row],[VALOR UNITÁRIO]]</f>
        <v>239.70000000000002</v>
      </c>
    </row>
    <row r="243" spans="1:7" ht="28.5" x14ac:dyDescent="0.25">
      <c r="A243" s="1">
        <v>45</v>
      </c>
      <c r="B243" s="4" t="s">
        <v>384</v>
      </c>
      <c r="C243" s="1" t="s">
        <v>337</v>
      </c>
      <c r="D243" s="1" t="s">
        <v>324</v>
      </c>
      <c r="E243" s="7">
        <v>30</v>
      </c>
      <c r="F243" s="5">
        <v>19.95</v>
      </c>
      <c r="G243" s="5">
        <f>Tabela134[[#This Row],[QTD]]*Tabela134[[#This Row],[VALOR UNITÁRIO]]</f>
        <v>598.5</v>
      </c>
    </row>
    <row r="244" spans="1:7" ht="28.5" x14ac:dyDescent="0.25">
      <c r="A244" s="1">
        <v>46</v>
      </c>
      <c r="B244" s="4" t="s">
        <v>385</v>
      </c>
      <c r="C244" s="1" t="s">
        <v>337</v>
      </c>
      <c r="D244" s="1" t="s">
        <v>324</v>
      </c>
      <c r="E244" s="7">
        <v>30</v>
      </c>
      <c r="F244" s="5">
        <v>21</v>
      </c>
      <c r="G244" s="5">
        <f>Tabela134[[#This Row],[QTD]]*Tabela134[[#This Row],[VALOR UNITÁRIO]]</f>
        <v>630</v>
      </c>
    </row>
    <row r="245" spans="1:7" x14ac:dyDescent="0.25">
      <c r="A245" s="1">
        <v>47</v>
      </c>
      <c r="B245" s="4" t="s">
        <v>386</v>
      </c>
      <c r="C245" s="1" t="s">
        <v>337</v>
      </c>
      <c r="D245" s="1" t="s">
        <v>3</v>
      </c>
      <c r="E245" s="7">
        <v>18</v>
      </c>
      <c r="F245" s="5">
        <v>6.22</v>
      </c>
      <c r="G245" s="5">
        <f>Tabela134[[#This Row],[QTD]]*Tabela134[[#This Row],[VALOR UNITÁRIO]]</f>
        <v>111.96</v>
      </c>
    </row>
    <row r="246" spans="1:7" x14ac:dyDescent="0.25">
      <c r="A246" s="1">
        <v>48</v>
      </c>
      <c r="B246" s="4" t="s">
        <v>387</v>
      </c>
      <c r="C246" s="1" t="s">
        <v>388</v>
      </c>
      <c r="D246" s="1" t="s">
        <v>389</v>
      </c>
      <c r="E246" s="7">
        <v>29</v>
      </c>
      <c r="F246" s="5">
        <v>5.54</v>
      </c>
      <c r="G246" s="5">
        <f>Tabela134[[#This Row],[QTD]]*Tabela134[[#This Row],[VALOR UNITÁRIO]]</f>
        <v>160.66</v>
      </c>
    </row>
    <row r="247" spans="1:7" x14ac:dyDescent="0.25">
      <c r="A247" s="1">
        <v>49</v>
      </c>
      <c r="B247" s="4" t="s">
        <v>390</v>
      </c>
      <c r="C247" s="1" t="s">
        <v>388</v>
      </c>
      <c r="D247" s="1" t="s">
        <v>389</v>
      </c>
      <c r="E247" s="7">
        <v>29</v>
      </c>
      <c r="F247" s="5">
        <v>3.8</v>
      </c>
      <c r="G247" s="5">
        <f>Tabela134[[#This Row],[QTD]]*Tabela134[[#This Row],[VALOR UNITÁRIO]]</f>
        <v>110.19999999999999</v>
      </c>
    </row>
    <row r="248" spans="1:7" x14ac:dyDescent="0.25">
      <c r="A248" s="1">
        <v>50</v>
      </c>
      <c r="B248" s="4" t="s">
        <v>391</v>
      </c>
      <c r="C248" s="1" t="s">
        <v>392</v>
      </c>
      <c r="D248" s="1" t="s">
        <v>3</v>
      </c>
      <c r="E248" s="7">
        <v>3</v>
      </c>
      <c r="F248" s="5">
        <v>6.73</v>
      </c>
      <c r="G248" s="5">
        <f>Tabela134[[#This Row],[QTD]]*Tabela134[[#This Row],[VALOR UNITÁRIO]]</f>
        <v>20.190000000000001</v>
      </c>
    </row>
    <row r="249" spans="1:7" x14ac:dyDescent="0.25">
      <c r="A249" s="1">
        <v>51</v>
      </c>
      <c r="B249" s="4" t="s">
        <v>395</v>
      </c>
      <c r="C249" s="1" t="s">
        <v>396</v>
      </c>
      <c r="D249" s="1" t="s">
        <v>379</v>
      </c>
      <c r="E249" s="7">
        <v>5</v>
      </c>
      <c r="F249" s="5">
        <v>13.53</v>
      </c>
      <c r="G249" s="5">
        <f>Tabela134[[#This Row],[QTD]]*Tabela134[[#This Row],[VALOR UNITÁRIO]]</f>
        <v>67.649999999999991</v>
      </c>
    </row>
    <row r="250" spans="1:7" ht="28.5" x14ac:dyDescent="0.25">
      <c r="A250" s="1">
        <v>52</v>
      </c>
      <c r="B250" s="4" t="s">
        <v>397</v>
      </c>
      <c r="C250" s="1" t="s">
        <v>398</v>
      </c>
      <c r="D250" s="1" t="s">
        <v>399</v>
      </c>
      <c r="E250" s="7">
        <v>2054</v>
      </c>
      <c r="F250" s="5">
        <v>0.91</v>
      </c>
      <c r="G250" s="5">
        <f>Tabela134[[#This Row],[QTD]]*Tabela134[[#This Row],[VALOR UNITÁRIO]]</f>
        <v>1869.14</v>
      </c>
    </row>
    <row r="251" spans="1:7" ht="25.5" customHeight="1" x14ac:dyDescent="0.25">
      <c r="A251" s="128" t="s">
        <v>463</v>
      </c>
      <c r="B251" s="128" t="s">
        <v>2</v>
      </c>
      <c r="C251" s="128" t="s">
        <v>312</v>
      </c>
      <c r="D251" s="128" t="s">
        <v>313</v>
      </c>
      <c r="E251" s="128" t="s">
        <v>4</v>
      </c>
      <c r="F251" s="129" t="s">
        <v>5</v>
      </c>
      <c r="G251" s="129" t="s">
        <v>314</v>
      </c>
    </row>
    <row r="252" spans="1:7" ht="28.5" x14ac:dyDescent="0.25">
      <c r="A252" s="1">
        <v>53</v>
      </c>
      <c r="B252" s="155" t="s">
        <v>400</v>
      </c>
      <c r="C252" s="1" t="s">
        <v>401</v>
      </c>
      <c r="D252" s="1" t="s">
        <v>402</v>
      </c>
      <c r="E252" s="7">
        <v>257</v>
      </c>
      <c r="F252" s="5">
        <v>8.86</v>
      </c>
      <c r="G252" s="5">
        <f>Tabela134[[#This Row],[QTD]]*Tabela134[[#This Row],[VALOR UNITÁRIO]]</f>
        <v>2277.02</v>
      </c>
    </row>
    <row r="253" spans="1:7" x14ac:dyDescent="0.25">
      <c r="A253" s="1">
        <v>54</v>
      </c>
      <c r="B253" s="4" t="s">
        <v>403</v>
      </c>
      <c r="C253" s="1" t="s">
        <v>404</v>
      </c>
      <c r="D253" s="1" t="s">
        <v>3</v>
      </c>
      <c r="E253" s="7">
        <v>10</v>
      </c>
      <c r="F253" s="5">
        <v>3.95</v>
      </c>
      <c r="G253" s="5">
        <f>Tabela134[[#This Row],[QTD]]*Tabela134[[#This Row],[VALOR UNITÁRIO]]</f>
        <v>39.5</v>
      </c>
    </row>
    <row r="254" spans="1:7" x14ac:dyDescent="0.25">
      <c r="A254" s="1">
        <v>55</v>
      </c>
      <c r="B254" s="4" t="s">
        <v>405</v>
      </c>
      <c r="C254" s="1" t="s">
        <v>406</v>
      </c>
      <c r="D254" s="1" t="s">
        <v>3</v>
      </c>
      <c r="E254" s="7">
        <v>41</v>
      </c>
      <c r="F254" s="5">
        <v>4.96</v>
      </c>
      <c r="G254" s="5">
        <f>Tabela134[[#This Row],[QTD]]*Tabela134[[#This Row],[VALOR UNITÁRIO]]</f>
        <v>203.35999999999999</v>
      </c>
    </row>
    <row r="255" spans="1:7" x14ac:dyDescent="0.25">
      <c r="A255" s="1">
        <v>56</v>
      </c>
      <c r="B255" s="4" t="s">
        <v>407</v>
      </c>
      <c r="C255" s="1" t="s">
        <v>408</v>
      </c>
      <c r="D255" s="1" t="s">
        <v>3</v>
      </c>
      <c r="E255" s="7">
        <v>3</v>
      </c>
      <c r="F255" s="5">
        <v>10.9</v>
      </c>
      <c r="G255" s="5">
        <f>Tabela134[[#This Row],[QTD]]*Tabela134[[#This Row],[VALOR UNITÁRIO]]</f>
        <v>32.700000000000003</v>
      </c>
    </row>
    <row r="256" spans="1:7" x14ac:dyDescent="0.25">
      <c r="A256" s="1">
        <v>57</v>
      </c>
      <c r="B256" s="4" t="s">
        <v>409</v>
      </c>
      <c r="C256" s="1" t="s">
        <v>409</v>
      </c>
      <c r="D256" s="1" t="s">
        <v>410</v>
      </c>
      <c r="E256" s="7">
        <v>3</v>
      </c>
      <c r="F256" s="5">
        <v>32.53</v>
      </c>
      <c r="G256" s="5">
        <f>Tabela134[[#This Row],[QTD]]*Tabela134[[#This Row],[VALOR UNITÁRIO]]</f>
        <v>97.59</v>
      </c>
    </row>
    <row r="257" spans="1:7" ht="42.75" x14ac:dyDescent="0.25">
      <c r="A257" s="1">
        <v>58</v>
      </c>
      <c r="B257" s="4" t="s">
        <v>477</v>
      </c>
      <c r="C257" s="1" t="s">
        <v>474</v>
      </c>
      <c r="D257" s="1" t="s">
        <v>324</v>
      </c>
      <c r="E257" s="7">
        <v>4</v>
      </c>
      <c r="F257" s="456">
        <v>67.8</v>
      </c>
      <c r="G257" s="5">
        <f>Tabela134[[#This Row],[QTD]]*Tabela134[[#This Row],[VALOR UNITÁRIO]]</f>
        <v>271.2</v>
      </c>
    </row>
    <row r="258" spans="1:7" x14ac:dyDescent="0.25">
      <c r="A258" s="1">
        <v>59</v>
      </c>
      <c r="B258" s="155" t="s">
        <v>411</v>
      </c>
      <c r="C258" s="1" t="s">
        <v>412</v>
      </c>
      <c r="D258" s="1" t="s">
        <v>413</v>
      </c>
      <c r="E258" s="7">
        <v>1</v>
      </c>
      <c r="F258" s="5">
        <v>4.34</v>
      </c>
      <c r="G258" s="5">
        <f>Tabela134[[#This Row],[QTD]]*Tabela134[[#This Row],[VALOR UNITÁRIO]]</f>
        <v>4.34</v>
      </c>
    </row>
    <row r="259" spans="1:7" ht="42.75" x14ac:dyDescent="0.25">
      <c r="A259" s="1">
        <v>60</v>
      </c>
      <c r="B259" s="155" t="s">
        <v>414</v>
      </c>
      <c r="C259" s="1" t="s">
        <v>415</v>
      </c>
      <c r="D259" s="1" t="s">
        <v>402</v>
      </c>
      <c r="E259" s="7">
        <v>5</v>
      </c>
      <c r="F259" s="5">
        <v>11</v>
      </c>
      <c r="G259" s="5">
        <f>Tabela134[[#This Row],[QTD]]*Tabela134[[#This Row],[VALOR UNITÁRIO]]</f>
        <v>55</v>
      </c>
    </row>
    <row r="260" spans="1:7" ht="42.75" x14ac:dyDescent="0.25">
      <c r="A260" s="1">
        <v>61</v>
      </c>
      <c r="B260" s="4" t="s">
        <v>416</v>
      </c>
      <c r="C260" s="1" t="s">
        <v>328</v>
      </c>
      <c r="D260" s="1" t="s">
        <v>3</v>
      </c>
      <c r="E260" s="7">
        <v>1</v>
      </c>
      <c r="F260" s="5">
        <v>12.54</v>
      </c>
      <c r="G260" s="5">
        <f>Tabela134[[#This Row],[QTD]]*Tabela134[[#This Row],[VALOR UNITÁRIO]]</f>
        <v>12.54</v>
      </c>
    </row>
    <row r="261" spans="1:7" ht="42.75" x14ac:dyDescent="0.25">
      <c r="A261" s="1">
        <v>62</v>
      </c>
      <c r="B261" s="4" t="s">
        <v>417</v>
      </c>
      <c r="C261" s="1" t="s">
        <v>328</v>
      </c>
      <c r="D261" s="1" t="s">
        <v>3</v>
      </c>
      <c r="E261" s="7">
        <v>2</v>
      </c>
      <c r="F261" s="5">
        <v>13.19</v>
      </c>
      <c r="G261" s="5">
        <f>Tabela134[[#This Row],[QTD]]*Tabela134[[#This Row],[VALOR UNITÁRIO]]</f>
        <v>26.38</v>
      </c>
    </row>
    <row r="262" spans="1:7" ht="28.5" x14ac:dyDescent="0.25">
      <c r="A262" s="1">
        <v>63</v>
      </c>
      <c r="B262" s="4" t="s">
        <v>418</v>
      </c>
      <c r="C262" s="1" t="s">
        <v>419</v>
      </c>
      <c r="D262" s="1" t="s">
        <v>3</v>
      </c>
      <c r="E262" s="7">
        <v>2</v>
      </c>
      <c r="F262" s="5">
        <v>15.69</v>
      </c>
      <c r="G262" s="5">
        <f>Tabela134[[#This Row],[QTD]]*Tabela134[[#This Row],[VALOR UNITÁRIO]]</f>
        <v>31.38</v>
      </c>
    </row>
    <row r="263" spans="1:7" ht="28.5" x14ac:dyDescent="0.25">
      <c r="A263" s="1">
        <v>64</v>
      </c>
      <c r="B263" s="4" t="s">
        <v>420</v>
      </c>
      <c r="C263" s="1" t="s">
        <v>419</v>
      </c>
      <c r="D263" s="1" t="s">
        <v>3</v>
      </c>
      <c r="E263" s="7">
        <v>2</v>
      </c>
      <c r="F263" s="5">
        <v>20.9</v>
      </c>
      <c r="G263" s="5">
        <f>Tabela134[[#This Row],[QTD]]*Tabela134[[#This Row],[VALOR UNITÁRIO]]</f>
        <v>41.8</v>
      </c>
    </row>
    <row r="264" spans="1:7" x14ac:dyDescent="0.25">
      <c r="A264" s="1">
        <v>65</v>
      </c>
      <c r="B264" s="4" t="s">
        <v>421</v>
      </c>
      <c r="C264" s="1" t="s">
        <v>422</v>
      </c>
      <c r="D264" s="1" t="s">
        <v>3</v>
      </c>
      <c r="E264" s="7">
        <v>2</v>
      </c>
      <c r="F264" s="5">
        <v>11.16</v>
      </c>
      <c r="G264" s="5">
        <f>Tabela134[[#This Row],[QTD]]*Tabela134[[#This Row],[VALOR UNITÁRIO]]</f>
        <v>22.32</v>
      </c>
    </row>
    <row r="265" spans="1:7" x14ac:dyDescent="0.25">
      <c r="A265" s="1">
        <v>66</v>
      </c>
      <c r="B265" s="4" t="s">
        <v>423</v>
      </c>
      <c r="C265" s="1" t="s">
        <v>424</v>
      </c>
      <c r="D265" s="1" t="s">
        <v>317</v>
      </c>
      <c r="E265" s="7">
        <v>2</v>
      </c>
      <c r="F265" s="5">
        <v>15.19</v>
      </c>
      <c r="G265" s="5">
        <f>Tabela134[[#This Row],[QTD]]*Tabela134[[#This Row],[VALOR UNITÁRIO]]</f>
        <v>30.38</v>
      </c>
    </row>
    <row r="266" spans="1:7" ht="28.5" x14ac:dyDescent="0.25">
      <c r="A266" s="1">
        <v>67</v>
      </c>
      <c r="B266" s="4" t="s">
        <v>425</v>
      </c>
      <c r="C266" s="1" t="s">
        <v>426</v>
      </c>
      <c r="D266" s="1" t="s">
        <v>324</v>
      </c>
      <c r="E266" s="7">
        <v>10</v>
      </c>
      <c r="F266" s="5">
        <v>25.76</v>
      </c>
      <c r="G266" s="5">
        <f>Tabela134[[#This Row],[QTD]]*Tabela134[[#This Row],[VALOR UNITÁRIO]]</f>
        <v>257.60000000000002</v>
      </c>
    </row>
    <row r="267" spans="1:7" x14ac:dyDescent="0.25">
      <c r="A267" s="1">
        <v>68</v>
      </c>
      <c r="B267" s="4" t="s">
        <v>427</v>
      </c>
      <c r="C267" s="1" t="s">
        <v>428</v>
      </c>
      <c r="D267" s="1" t="s">
        <v>324</v>
      </c>
      <c r="E267" s="7">
        <v>16</v>
      </c>
      <c r="F267" s="5">
        <v>32.380000000000003</v>
      </c>
      <c r="G267" s="5">
        <f>Tabela134[[#This Row],[QTD]]*Tabela134[[#This Row],[VALOR UNITÁRIO]]</f>
        <v>518.08000000000004</v>
      </c>
    </row>
    <row r="268" spans="1:7" x14ac:dyDescent="0.25">
      <c r="A268" s="1">
        <v>69</v>
      </c>
      <c r="B268" s="4" t="s">
        <v>429</v>
      </c>
      <c r="C268" s="1" t="s">
        <v>345</v>
      </c>
      <c r="D268" s="1" t="s">
        <v>3</v>
      </c>
      <c r="E268" s="7">
        <v>2</v>
      </c>
      <c r="F268" s="5">
        <v>8.4600000000000009</v>
      </c>
      <c r="G268" s="5">
        <f>Tabela134[[#This Row],[QTD]]*Tabela134[[#This Row],[VALOR UNITÁRIO]]</f>
        <v>16.920000000000002</v>
      </c>
    </row>
    <row r="269" spans="1:7" x14ac:dyDescent="0.25">
      <c r="A269" s="1">
        <v>70</v>
      </c>
      <c r="B269" s="4" t="s">
        <v>430</v>
      </c>
      <c r="C269" s="1" t="s">
        <v>345</v>
      </c>
      <c r="D269" s="1" t="s">
        <v>3</v>
      </c>
      <c r="E269" s="7">
        <v>2</v>
      </c>
      <c r="F269" s="5">
        <v>21</v>
      </c>
      <c r="G269" s="5">
        <f>Tabela134[[#This Row],[QTD]]*Tabela134[[#This Row],[VALOR UNITÁRIO]]</f>
        <v>42</v>
      </c>
    </row>
    <row r="270" spans="1:7" x14ac:dyDescent="0.25">
      <c r="A270" s="1">
        <v>71</v>
      </c>
      <c r="B270" s="4" t="s">
        <v>431</v>
      </c>
      <c r="C270" s="1" t="s">
        <v>345</v>
      </c>
      <c r="D270" s="1" t="s">
        <v>3</v>
      </c>
      <c r="E270" s="7">
        <v>2</v>
      </c>
      <c r="F270" s="5">
        <v>9.9</v>
      </c>
      <c r="G270" s="5">
        <f>Tabela134[[#This Row],[QTD]]*Tabela134[[#This Row],[VALOR UNITÁRIO]]</f>
        <v>19.8</v>
      </c>
    </row>
    <row r="271" spans="1:7" x14ac:dyDescent="0.25">
      <c r="A271" s="1">
        <v>72</v>
      </c>
      <c r="B271" s="4" t="s">
        <v>432</v>
      </c>
      <c r="C271" s="1" t="s">
        <v>345</v>
      </c>
      <c r="D271" s="1" t="s">
        <v>3</v>
      </c>
      <c r="E271" s="7">
        <v>2</v>
      </c>
      <c r="F271" s="5">
        <v>12.6</v>
      </c>
      <c r="G271" s="5">
        <f>Tabela134[[#This Row],[QTD]]*Tabela134[[#This Row],[VALOR UNITÁRIO]]</f>
        <v>25.2</v>
      </c>
    </row>
    <row r="272" spans="1:7" x14ac:dyDescent="0.25">
      <c r="A272" s="1">
        <v>73</v>
      </c>
      <c r="B272" s="4" t="s">
        <v>433</v>
      </c>
      <c r="C272" s="1" t="s">
        <v>434</v>
      </c>
      <c r="D272" s="1" t="s">
        <v>3</v>
      </c>
      <c r="E272" s="7">
        <v>41</v>
      </c>
      <c r="F272" s="5">
        <v>1.38</v>
      </c>
      <c r="G272" s="5">
        <f>Tabela134[[#This Row],[QTD]]*Tabela134[[#This Row],[VALOR UNITÁRIO]]</f>
        <v>56.58</v>
      </c>
    </row>
    <row r="273" spans="1:7" x14ac:dyDescent="0.25">
      <c r="A273" s="1">
        <v>74</v>
      </c>
      <c r="B273" s="4" t="s">
        <v>435</v>
      </c>
      <c r="C273" s="1" t="s">
        <v>436</v>
      </c>
      <c r="D273" s="1" t="s">
        <v>410</v>
      </c>
      <c r="E273" s="7">
        <v>7</v>
      </c>
      <c r="F273" s="5">
        <v>4.9000000000000004</v>
      </c>
      <c r="G273" s="5">
        <f>Tabela134[[#This Row],[QTD]]*Tabela134[[#This Row],[VALOR UNITÁRIO]]</f>
        <v>34.300000000000004</v>
      </c>
    </row>
    <row r="274" spans="1:7" ht="28.5" x14ac:dyDescent="0.25">
      <c r="A274" s="1">
        <v>75</v>
      </c>
      <c r="B274" s="4" t="s">
        <v>437</v>
      </c>
      <c r="C274" s="1" t="s">
        <v>337</v>
      </c>
      <c r="D274" s="1" t="s">
        <v>324</v>
      </c>
      <c r="E274" s="7">
        <v>3</v>
      </c>
      <c r="F274" s="5">
        <v>29.9</v>
      </c>
      <c r="G274" s="5">
        <f>Tabela134[[#This Row],[QTD]]*Tabela134[[#This Row],[VALOR UNITÁRIO]]</f>
        <v>89.699999999999989</v>
      </c>
    </row>
    <row r="275" spans="1:7" x14ac:dyDescent="0.25">
      <c r="A275" s="1">
        <v>76</v>
      </c>
      <c r="B275" s="4" t="s">
        <v>438</v>
      </c>
      <c r="C275" s="1" t="s">
        <v>415</v>
      </c>
      <c r="D275" s="1" t="s">
        <v>3</v>
      </c>
      <c r="E275" s="7">
        <v>72</v>
      </c>
      <c r="F275" s="5">
        <v>6.8</v>
      </c>
      <c r="G275" s="5">
        <f>Tabela134[[#This Row],[QTD]]*Tabela134[[#This Row],[VALOR UNITÁRIO]]</f>
        <v>489.59999999999997</v>
      </c>
    </row>
    <row r="276" spans="1:7" ht="28.5" x14ac:dyDescent="0.25">
      <c r="A276" s="1">
        <v>77</v>
      </c>
      <c r="B276" s="4" t="s">
        <v>439</v>
      </c>
      <c r="C276" s="1" t="s">
        <v>440</v>
      </c>
      <c r="D276" s="1" t="s">
        <v>402</v>
      </c>
      <c r="E276" s="7">
        <v>1</v>
      </c>
      <c r="F276" s="5">
        <v>27.47</v>
      </c>
      <c r="G276" s="5">
        <f>Tabela134[[#This Row],[QTD]]*Tabela134[[#This Row],[VALOR UNITÁRIO]]</f>
        <v>27.47</v>
      </c>
    </row>
    <row r="277" spans="1:7" ht="28.5" x14ac:dyDescent="0.25">
      <c r="A277" s="1">
        <v>78</v>
      </c>
      <c r="B277" s="4" t="s">
        <v>441</v>
      </c>
      <c r="C277" s="1" t="s">
        <v>440</v>
      </c>
      <c r="D277" s="1" t="s">
        <v>402</v>
      </c>
      <c r="E277" s="7">
        <v>1</v>
      </c>
      <c r="F277" s="5">
        <v>13.57</v>
      </c>
      <c r="G277" s="5">
        <f>Tabela134[[#This Row],[QTD]]*Tabela134[[#This Row],[VALOR UNITÁRIO]]</f>
        <v>13.57</v>
      </c>
    </row>
    <row r="278" spans="1:7" ht="28.5" x14ac:dyDescent="0.25">
      <c r="A278" s="1">
        <v>79</v>
      </c>
      <c r="B278" s="4" t="s">
        <v>442</v>
      </c>
      <c r="C278" s="1" t="s">
        <v>443</v>
      </c>
      <c r="D278" s="1" t="s">
        <v>3</v>
      </c>
      <c r="E278" s="7">
        <v>51</v>
      </c>
      <c r="F278" s="5">
        <v>1.82</v>
      </c>
      <c r="G278" s="5">
        <f>Tabela134[[#This Row],[QTD]]*Tabela134[[#This Row],[VALOR UNITÁRIO]]</f>
        <v>92.820000000000007</v>
      </c>
    </row>
    <row r="279" spans="1:7" ht="28.5" x14ac:dyDescent="0.25">
      <c r="A279" s="1">
        <v>80</v>
      </c>
      <c r="B279" s="155" t="s">
        <v>444</v>
      </c>
      <c r="C279" s="1" t="s">
        <v>445</v>
      </c>
      <c r="D279" s="1" t="s">
        <v>379</v>
      </c>
      <c r="E279" s="7">
        <v>2</v>
      </c>
      <c r="F279" s="5">
        <v>14.1</v>
      </c>
      <c r="G279" s="5">
        <f>Tabela134[[#This Row],[QTD]]*Tabela134[[#This Row],[VALOR UNITÁRIO]]</f>
        <v>28.2</v>
      </c>
    </row>
    <row r="280" spans="1:7" ht="28.5" x14ac:dyDescent="0.25">
      <c r="A280" s="1">
        <v>81</v>
      </c>
      <c r="B280" s="4" t="s">
        <v>446</v>
      </c>
      <c r="C280" s="1" t="s">
        <v>440</v>
      </c>
      <c r="D280" s="1" t="s">
        <v>402</v>
      </c>
      <c r="E280" s="7">
        <v>20</v>
      </c>
      <c r="F280" s="5">
        <v>35.99</v>
      </c>
      <c r="G280" s="5">
        <f>Tabela134[[#This Row],[QTD]]*Tabela134[[#This Row],[VALOR UNITÁRIO]]</f>
        <v>719.80000000000007</v>
      </c>
    </row>
    <row r="281" spans="1:7" ht="28.5" x14ac:dyDescent="0.25">
      <c r="A281" s="1">
        <v>82</v>
      </c>
      <c r="B281" s="4" t="s">
        <v>447</v>
      </c>
      <c r="C281" s="1" t="s">
        <v>440</v>
      </c>
      <c r="D281" s="1" t="s">
        <v>402</v>
      </c>
      <c r="E281" s="7">
        <v>25</v>
      </c>
      <c r="F281" s="5">
        <v>14.9</v>
      </c>
      <c r="G281" s="5">
        <f>Tabela134[[#This Row],[QTD]]*Tabela134[[#This Row],[VALOR UNITÁRIO]]</f>
        <v>372.5</v>
      </c>
    </row>
    <row r="282" spans="1:7" x14ac:dyDescent="0.25">
      <c r="A282" s="1">
        <v>83</v>
      </c>
      <c r="B282" s="155" t="s">
        <v>448</v>
      </c>
      <c r="C282" s="1" t="s">
        <v>449</v>
      </c>
      <c r="D282" s="1" t="s">
        <v>3</v>
      </c>
      <c r="E282" s="7">
        <v>20</v>
      </c>
      <c r="F282" s="5">
        <v>2.75</v>
      </c>
      <c r="G282" s="5">
        <f>Tabela134[[#This Row],[QTD]]*Tabela134[[#This Row],[VALOR UNITÁRIO]]</f>
        <v>55</v>
      </c>
    </row>
    <row r="283" spans="1:7" x14ac:dyDescent="0.25">
      <c r="A283" s="1">
        <v>84</v>
      </c>
      <c r="B283" s="155" t="s">
        <v>450</v>
      </c>
      <c r="C283" s="1" t="s">
        <v>424</v>
      </c>
      <c r="D283" s="1" t="s">
        <v>317</v>
      </c>
      <c r="E283" s="7">
        <v>1</v>
      </c>
      <c r="F283" s="5">
        <v>10.83</v>
      </c>
      <c r="G283" s="5">
        <f>Tabela134[[#This Row],[QTD]]*Tabela134[[#This Row],[VALOR UNITÁRIO]]</f>
        <v>10.83</v>
      </c>
    </row>
    <row r="284" spans="1:7" x14ac:dyDescent="0.25">
      <c r="A284" s="1">
        <v>85</v>
      </c>
      <c r="B284" s="4" t="s">
        <v>451</v>
      </c>
      <c r="C284" s="1" t="s">
        <v>452</v>
      </c>
      <c r="D284" s="1" t="s">
        <v>3</v>
      </c>
      <c r="E284" s="7">
        <v>1</v>
      </c>
      <c r="F284" s="5">
        <v>32.33</v>
      </c>
      <c r="G284" s="5">
        <f>Tabela134[[#This Row],[QTD]]*Tabela134[[#This Row],[VALOR UNITÁRIO]]</f>
        <v>32.33</v>
      </c>
    </row>
    <row r="285" spans="1:7" x14ac:dyDescent="0.25">
      <c r="A285" s="1">
        <v>86</v>
      </c>
      <c r="B285" s="4" t="s">
        <v>453</v>
      </c>
      <c r="C285" s="1" t="s">
        <v>345</v>
      </c>
      <c r="D285" s="1" t="s">
        <v>3</v>
      </c>
      <c r="E285" s="7">
        <v>1</v>
      </c>
      <c r="F285" s="5">
        <v>12.99</v>
      </c>
      <c r="G285" s="5">
        <f>Tabela134[[#This Row],[QTD]]*Tabela134[[#This Row],[VALOR UNITÁRIO]]</f>
        <v>12.99</v>
      </c>
    </row>
    <row r="286" spans="1:7" x14ac:dyDescent="0.25">
      <c r="A286" s="1">
        <v>87</v>
      </c>
      <c r="B286" s="4" t="s">
        <v>454</v>
      </c>
      <c r="C286" s="1" t="s">
        <v>345</v>
      </c>
      <c r="D286" s="1" t="s">
        <v>3</v>
      </c>
      <c r="E286" s="7">
        <v>4</v>
      </c>
      <c r="F286" s="5">
        <v>10.91</v>
      </c>
      <c r="G286" s="5">
        <f>Tabela134[[#This Row],[QTD]]*Tabela134[[#This Row],[VALOR UNITÁRIO]]</f>
        <v>43.64</v>
      </c>
    </row>
    <row r="287" spans="1:7" x14ac:dyDescent="0.25">
      <c r="A287" s="1">
        <v>88</v>
      </c>
      <c r="B287" s="4" t="s">
        <v>455</v>
      </c>
      <c r="C287" s="1" t="s">
        <v>345</v>
      </c>
      <c r="D287" s="1" t="s">
        <v>3</v>
      </c>
      <c r="E287" s="7">
        <v>4</v>
      </c>
      <c r="F287" s="5">
        <v>12.86</v>
      </c>
      <c r="G287" s="5">
        <f>Tabela134[[#This Row],[QTD]]*Tabela134[[#This Row],[VALOR UNITÁRIO]]</f>
        <v>51.44</v>
      </c>
    </row>
    <row r="288" spans="1:7" x14ac:dyDescent="0.25">
      <c r="A288" s="1">
        <v>89</v>
      </c>
      <c r="B288" s="4" t="s">
        <v>456</v>
      </c>
      <c r="C288" s="1" t="s">
        <v>345</v>
      </c>
      <c r="D288" s="1" t="s">
        <v>3</v>
      </c>
      <c r="E288" s="7">
        <v>4</v>
      </c>
      <c r="F288" s="5">
        <v>6.59</v>
      </c>
      <c r="G288" s="5">
        <f>Tabela134[[#This Row],[QTD]]*Tabela134[[#This Row],[VALOR UNITÁRIO]]</f>
        <v>26.36</v>
      </c>
    </row>
    <row r="289" spans="1:7" x14ac:dyDescent="0.25">
      <c r="A289" s="1">
        <v>90</v>
      </c>
      <c r="B289" s="4" t="s">
        <v>457</v>
      </c>
      <c r="C289" s="1" t="s">
        <v>452</v>
      </c>
      <c r="D289" s="1" t="s">
        <v>410</v>
      </c>
      <c r="E289" s="7">
        <v>1</v>
      </c>
      <c r="F289" s="5">
        <v>34</v>
      </c>
      <c r="G289" s="5">
        <f>Tabela134[[#This Row],[QTD]]*Tabela134[[#This Row],[VALOR UNITÁRIO]]</f>
        <v>34</v>
      </c>
    </row>
    <row r="290" spans="1:7" x14ac:dyDescent="0.25">
      <c r="A290" s="1">
        <v>91</v>
      </c>
      <c r="B290" s="4" t="s">
        <v>458</v>
      </c>
      <c r="C290" s="1" t="s">
        <v>452</v>
      </c>
      <c r="D290" s="1" t="s">
        <v>317</v>
      </c>
      <c r="E290" s="7">
        <v>1</v>
      </c>
      <c r="F290" s="5">
        <v>54.94</v>
      </c>
      <c r="G290" s="5">
        <f>Tabela134[[#This Row],[QTD]]*Tabela134[[#This Row],[VALOR UNITÁRIO]]</f>
        <v>54.94</v>
      </c>
    </row>
    <row r="291" spans="1:7" x14ac:dyDescent="0.25">
      <c r="A291" s="1">
        <v>92</v>
      </c>
      <c r="B291" s="155" t="s">
        <v>459</v>
      </c>
      <c r="C291" s="1" t="s">
        <v>452</v>
      </c>
      <c r="D291" s="1" t="s">
        <v>3</v>
      </c>
      <c r="E291" s="7">
        <v>33</v>
      </c>
      <c r="F291" s="5">
        <v>1.06</v>
      </c>
      <c r="G291" s="5">
        <f>Tabela134[[#This Row],[QTD]]*Tabela134[[#This Row],[VALOR UNITÁRIO]]</f>
        <v>34.980000000000004</v>
      </c>
    </row>
    <row r="292" spans="1:7" ht="25.5" customHeight="1" x14ac:dyDescent="0.25">
      <c r="A292" s="232" t="s">
        <v>460</v>
      </c>
      <c r="B292" s="232"/>
      <c r="C292" s="232"/>
      <c r="D292" s="232"/>
      <c r="E292" s="232"/>
      <c r="F292" s="232"/>
      <c r="G292" s="6">
        <f>SUM(Tabela134[VALOR TOTAL])</f>
        <v>15468.38</v>
      </c>
    </row>
    <row r="295" spans="1:7" ht="30.75" customHeight="1" x14ac:dyDescent="0.25">
      <c r="A295" s="242" t="s">
        <v>478</v>
      </c>
      <c r="B295" s="242"/>
      <c r="C295" s="242"/>
      <c r="D295" s="242"/>
      <c r="E295" s="242"/>
      <c r="F295" s="242"/>
      <c r="G295" s="242"/>
    </row>
    <row r="297" spans="1:7" ht="45" x14ac:dyDescent="0.25">
      <c r="A297" s="8" t="s">
        <v>463</v>
      </c>
      <c r="B297" s="233" t="s">
        <v>2</v>
      </c>
      <c r="C297" s="234"/>
      <c r="D297" s="234"/>
      <c r="E297" s="235"/>
      <c r="F297" s="153" t="s">
        <v>479</v>
      </c>
      <c r="G297" s="153" t="s">
        <v>480</v>
      </c>
    </row>
    <row r="298" spans="1:7" ht="30" customHeight="1" x14ac:dyDescent="0.25">
      <c r="A298" s="9">
        <v>1</v>
      </c>
      <c r="B298" s="236" t="s">
        <v>481</v>
      </c>
      <c r="C298" s="237"/>
      <c r="D298" s="237"/>
      <c r="E298" s="238"/>
      <c r="F298" s="152">
        <f>G96</f>
        <v>40694.080000000002</v>
      </c>
      <c r="G298" s="152">
        <f>F298/'QTD TOTAL SERVENTE-ENCARREGADO'!G4</f>
        <v>402.91168316831687</v>
      </c>
    </row>
    <row r="299" spans="1:7" ht="30" customHeight="1" x14ac:dyDescent="0.25">
      <c r="A299" s="9">
        <v>2</v>
      </c>
      <c r="B299" s="236" t="s">
        <v>482</v>
      </c>
      <c r="C299" s="237"/>
      <c r="D299" s="237"/>
      <c r="E299" s="238"/>
      <c r="F299" s="152">
        <f>G194</f>
        <v>21999.339999999997</v>
      </c>
      <c r="G299" s="152">
        <f>F299/'QTD TOTAL SERVENTE-ENCARREGADO'!G5</f>
        <v>323.51970588235287</v>
      </c>
    </row>
    <row r="300" spans="1:7" ht="30" customHeight="1" x14ac:dyDescent="0.25">
      <c r="A300" s="9">
        <v>3</v>
      </c>
      <c r="B300" s="236" t="s">
        <v>483</v>
      </c>
      <c r="C300" s="237"/>
      <c r="D300" s="237"/>
      <c r="E300" s="238"/>
      <c r="F300" s="152">
        <f>G292</f>
        <v>15468.38</v>
      </c>
      <c r="G300" s="152">
        <f>F300/'QTD TOTAL SERVENTE-ENCARREGADO'!G6</f>
        <v>343.74177777777777</v>
      </c>
    </row>
    <row r="301" spans="1:7" ht="50.25" customHeight="1" x14ac:dyDescent="0.25">
      <c r="A301" s="239" t="s">
        <v>484</v>
      </c>
      <c r="B301" s="240"/>
      <c r="C301" s="240"/>
      <c r="D301" s="240"/>
      <c r="E301" s="241"/>
      <c r="F301" s="10">
        <f>SUM(F298:F300)</f>
        <v>78161.8</v>
      </c>
      <c r="G301" s="10">
        <f>F301/'QTD TOTAL SERVENTE-ENCARREGADO'!G8</f>
        <v>365.24205607476637</v>
      </c>
    </row>
    <row r="303" spans="1:7" ht="31.5" customHeight="1" x14ac:dyDescent="0.25">
      <c r="A303" s="243" t="s">
        <v>485</v>
      </c>
      <c r="B303" s="243"/>
      <c r="C303" s="243"/>
      <c r="D303" s="243"/>
      <c r="E303" s="243"/>
      <c r="F303" s="243"/>
      <c r="G303" s="243"/>
    </row>
    <row r="304" spans="1:7" ht="28.5" customHeight="1" x14ac:dyDescent="0.25">
      <c r="A304" s="243" t="s">
        <v>486</v>
      </c>
      <c r="B304" s="243"/>
      <c r="C304" s="243"/>
      <c r="D304" s="243"/>
      <c r="E304" s="243"/>
      <c r="F304" s="243"/>
      <c r="G304" s="243"/>
    </row>
    <row r="305" spans="1:7" ht="30" customHeight="1" x14ac:dyDescent="0.25">
      <c r="A305" s="243" t="s">
        <v>487</v>
      </c>
      <c r="B305" s="243"/>
      <c r="C305" s="243"/>
      <c r="D305" s="243"/>
      <c r="E305" s="243"/>
      <c r="F305" s="243"/>
      <c r="G305" s="243"/>
    </row>
    <row r="306" spans="1:7" x14ac:dyDescent="0.25">
      <c r="A306" s="243" t="s">
        <v>488</v>
      </c>
      <c r="B306" s="243"/>
      <c r="C306" s="243"/>
      <c r="D306" s="243"/>
      <c r="E306" s="243"/>
      <c r="F306" s="243"/>
      <c r="G306" s="243"/>
    </row>
    <row r="307" spans="1:7" ht="30" customHeight="1" x14ac:dyDescent="0.25">
      <c r="A307" s="243" t="s">
        <v>489</v>
      </c>
      <c r="B307" s="243"/>
      <c r="C307" s="243"/>
      <c r="D307" s="243"/>
      <c r="E307" s="243"/>
      <c r="F307" s="243"/>
      <c r="G307" s="243"/>
    </row>
    <row r="308" spans="1:7" ht="43.5" customHeight="1" x14ac:dyDescent="0.25">
      <c r="A308" s="243" t="s">
        <v>490</v>
      </c>
      <c r="B308" s="243"/>
      <c r="C308" s="243"/>
      <c r="D308" s="243"/>
      <c r="E308" s="243"/>
      <c r="F308" s="243"/>
      <c r="G308" s="243"/>
    </row>
    <row r="309" spans="1:7" ht="42.75" customHeight="1" x14ac:dyDescent="0.25">
      <c r="A309" s="243" t="s">
        <v>491</v>
      </c>
      <c r="B309" s="243"/>
      <c r="C309" s="243"/>
      <c r="D309" s="243"/>
      <c r="E309" s="243"/>
      <c r="F309" s="243"/>
      <c r="G309" s="243"/>
    </row>
    <row r="310" spans="1:7" ht="29.25" customHeight="1" x14ac:dyDescent="0.25">
      <c r="A310" s="243" t="s">
        <v>492</v>
      </c>
      <c r="B310" s="243"/>
      <c r="C310" s="243"/>
      <c r="D310" s="243"/>
      <c r="E310" s="243"/>
      <c r="F310" s="243"/>
      <c r="G310" s="243"/>
    </row>
  </sheetData>
  <mergeCells count="20">
    <mergeCell ref="A308:G308"/>
    <mergeCell ref="A309:G309"/>
    <mergeCell ref="A310:G310"/>
    <mergeCell ref="A303:G303"/>
    <mergeCell ref="A304:G304"/>
    <mergeCell ref="A305:G305"/>
    <mergeCell ref="A306:G306"/>
    <mergeCell ref="A307:G307"/>
    <mergeCell ref="B298:E298"/>
    <mergeCell ref="B299:E299"/>
    <mergeCell ref="B300:E300"/>
    <mergeCell ref="A301:E301"/>
    <mergeCell ref="A295:G295"/>
    <mergeCell ref="A292:F292"/>
    <mergeCell ref="B297:E297"/>
    <mergeCell ref="A1:G1"/>
    <mergeCell ref="A96:F96"/>
    <mergeCell ref="A99:G99"/>
    <mergeCell ref="A194:F194"/>
    <mergeCell ref="A197:G197"/>
  </mergeCells>
  <printOptions horizontalCentered="1"/>
  <pageMargins left="0.51181102362204722" right="0.51181102362204722" top="0.59055118110236227" bottom="0.39370078740157483" header="0.31496062992125984" footer="0.31496062992125984"/>
  <pageSetup paperSize="9" scale="71" fitToHeight="0" orientation="portrait" horizontalDpi="300" verticalDpi="300" r:id="rId1"/>
  <headerFooter>
    <oddHeader>&amp;C&amp;"Arial,Negrito"&amp;14&amp;UPLANILHA COM ESTIMATIVA DE GASTOS COM MATERIAL DE CONSUMO</oddHeader>
  </headerFooter>
  <rowBreaks count="5" manualBreakCount="5">
    <brk id="54" max="16383" man="1"/>
    <brk id="98" max="16383" man="1"/>
    <brk id="152" max="16383" man="1"/>
    <brk id="196" max="16383" man="1"/>
    <brk id="294" max="16383" man="1"/>
  </rowBreaks>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60"/>
  <sheetViews>
    <sheetView workbookViewId="0">
      <selection activeCell="F49" sqref="F49"/>
    </sheetView>
  </sheetViews>
  <sheetFormatPr defaultRowHeight="14.25" x14ac:dyDescent="0.25"/>
  <cols>
    <col min="1" max="1" width="8.42578125" style="1" customWidth="1"/>
    <col min="2" max="2" width="50.7109375" style="1" customWidth="1"/>
    <col min="3" max="3" width="16.85546875" style="1" customWidth="1"/>
    <col min="4" max="4" width="9.140625" style="1"/>
    <col min="5" max="6" width="21.140625" style="1" customWidth="1"/>
    <col min="7" max="16384" width="9.140625" style="1"/>
  </cols>
  <sheetData>
    <row r="1" spans="1:6" ht="27.75" customHeight="1" x14ac:dyDescent="0.25">
      <c r="A1" s="232" t="s">
        <v>493</v>
      </c>
      <c r="B1" s="232"/>
      <c r="C1" s="232"/>
      <c r="D1" s="232"/>
      <c r="E1" s="232"/>
      <c r="F1" s="232"/>
    </row>
    <row r="2" spans="1:6" ht="27.75" customHeight="1" x14ac:dyDescent="0.25">
      <c r="A2" s="2" t="s">
        <v>463</v>
      </c>
      <c r="B2" s="2" t="s">
        <v>2</v>
      </c>
      <c r="C2" s="2" t="s">
        <v>312</v>
      </c>
      <c r="D2" s="2" t="s">
        <v>4</v>
      </c>
      <c r="E2" s="2" t="s">
        <v>5</v>
      </c>
      <c r="F2" s="2" t="s">
        <v>314</v>
      </c>
    </row>
    <row r="3" spans="1:6" ht="114.75" x14ac:dyDescent="0.25">
      <c r="A3" s="1">
        <v>1</v>
      </c>
      <c r="B3" s="4" t="s">
        <v>494</v>
      </c>
      <c r="C3" s="11" t="s">
        <v>495</v>
      </c>
      <c r="D3" s="1">
        <v>4</v>
      </c>
      <c r="E3" s="5">
        <v>329.9</v>
      </c>
      <c r="F3" s="5">
        <f>Tabela4[[#This Row],[QTD]]*Tabela4[[#This Row],[VALOR UNITÁRIO]]</f>
        <v>1319.6</v>
      </c>
    </row>
    <row r="4" spans="1:6" ht="147" customHeight="1" x14ac:dyDescent="0.25">
      <c r="A4" s="1">
        <v>2</v>
      </c>
      <c r="B4" s="4" t="s">
        <v>496</v>
      </c>
      <c r="C4" s="11" t="s">
        <v>497</v>
      </c>
      <c r="D4" s="1">
        <v>8</v>
      </c>
      <c r="E4" s="5">
        <v>526.41</v>
      </c>
      <c r="F4" s="5">
        <f>Tabela4[[#This Row],[QTD]]*Tabela4[[#This Row],[VALOR UNITÁRIO]]</f>
        <v>4211.28</v>
      </c>
    </row>
    <row r="5" spans="1:6" ht="43.5" x14ac:dyDescent="0.25">
      <c r="A5" s="1">
        <v>3</v>
      </c>
      <c r="B5" s="4" t="s">
        <v>498</v>
      </c>
      <c r="C5" s="11" t="s">
        <v>495</v>
      </c>
      <c r="D5" s="1">
        <v>9</v>
      </c>
      <c r="E5" s="5">
        <v>1979.99</v>
      </c>
      <c r="F5" s="5">
        <f>Tabela4[[#This Row],[QTD]]*Tabela4[[#This Row],[VALOR UNITÁRIO]]</f>
        <v>17819.91</v>
      </c>
    </row>
    <row r="6" spans="1:6" ht="157.5" x14ac:dyDescent="0.25">
      <c r="A6" s="1">
        <v>4</v>
      </c>
      <c r="B6" s="4" t="s">
        <v>499</v>
      </c>
      <c r="C6" s="11" t="s">
        <v>500</v>
      </c>
      <c r="D6" s="1">
        <v>9</v>
      </c>
      <c r="E6" s="5">
        <v>2638.5</v>
      </c>
      <c r="F6" s="5">
        <f>Tabela4[[#This Row],[QTD]]*Tabela4[[#This Row],[VALOR UNITÁRIO]]</f>
        <v>23746.5</v>
      </c>
    </row>
    <row r="7" spans="1:6" ht="29.25" x14ac:dyDescent="0.25">
      <c r="A7" s="1">
        <v>5</v>
      </c>
      <c r="B7" s="4" t="s">
        <v>501</v>
      </c>
      <c r="C7" s="11" t="s">
        <v>156</v>
      </c>
      <c r="D7" s="1">
        <v>24</v>
      </c>
      <c r="E7" s="5">
        <v>335.91</v>
      </c>
      <c r="F7" s="5">
        <f>Tabela4[[#This Row],[QTD]]*Tabela4[[#This Row],[VALOR UNITÁRIO]]</f>
        <v>8061.84</v>
      </c>
    </row>
    <row r="8" spans="1:6" ht="43.5" x14ac:dyDescent="0.25">
      <c r="A8" s="1">
        <v>6</v>
      </c>
      <c r="B8" s="4" t="s">
        <v>502</v>
      </c>
      <c r="C8" s="11" t="s">
        <v>156</v>
      </c>
      <c r="D8" s="1">
        <v>4</v>
      </c>
      <c r="E8" s="5">
        <v>664.9</v>
      </c>
      <c r="F8" s="5">
        <f>Tabela4[[#This Row],[QTD]]*Tabela4[[#This Row],[VALOR UNITÁRIO]]</f>
        <v>2659.6</v>
      </c>
    </row>
    <row r="9" spans="1:6" ht="29.25" x14ac:dyDescent="0.25">
      <c r="A9" s="1">
        <v>7</v>
      </c>
      <c r="B9" s="4" t="s">
        <v>503</v>
      </c>
      <c r="C9" s="11" t="s">
        <v>156</v>
      </c>
      <c r="D9" s="1">
        <v>24</v>
      </c>
      <c r="E9" s="5">
        <v>364.23</v>
      </c>
      <c r="F9" s="5">
        <f>Tabela4[[#This Row],[QTD]]*Tabela4[[#This Row],[VALOR UNITÁRIO]]</f>
        <v>8741.52</v>
      </c>
    </row>
    <row r="10" spans="1:6" ht="162.75" customHeight="1" x14ac:dyDescent="0.25">
      <c r="A10" s="1">
        <v>8</v>
      </c>
      <c r="B10" s="4" t="s">
        <v>504</v>
      </c>
      <c r="C10" s="11" t="s">
        <v>505</v>
      </c>
      <c r="D10" s="1">
        <v>6</v>
      </c>
      <c r="E10" s="5">
        <v>796.39</v>
      </c>
      <c r="F10" s="5">
        <f>Tabela4[[#This Row],[QTD]]*Tabela4[[#This Row],[VALOR UNITÁRIO]]</f>
        <v>4778.34</v>
      </c>
    </row>
    <row r="11" spans="1:6" ht="24" customHeight="1" x14ac:dyDescent="0.25">
      <c r="A11" s="232" t="s">
        <v>506</v>
      </c>
      <c r="B11" s="232"/>
      <c r="C11" s="232"/>
      <c r="D11" s="232"/>
      <c r="E11" s="232"/>
      <c r="F11" s="6">
        <f>SUM(Tabela4[VALOR TOTAL])</f>
        <v>71338.59</v>
      </c>
    </row>
    <row r="12" spans="1:6" ht="24" customHeight="1" x14ac:dyDescent="0.25">
      <c r="A12" s="232" t="s">
        <v>507</v>
      </c>
      <c r="B12" s="232"/>
      <c r="C12" s="232"/>
      <c r="D12" s="232"/>
      <c r="E12" s="232"/>
      <c r="F12" s="6">
        <f>(F11-(F11*10%))/10/12</f>
        <v>535.03942500000005</v>
      </c>
    </row>
    <row r="13" spans="1:6" ht="24" customHeight="1" x14ac:dyDescent="0.25">
      <c r="A13" s="232" t="s">
        <v>508</v>
      </c>
      <c r="B13" s="232"/>
      <c r="C13" s="232"/>
      <c r="D13" s="232"/>
      <c r="E13" s="232"/>
      <c r="F13" s="6">
        <f>F11*0.5%</f>
        <v>356.69295</v>
      </c>
    </row>
    <row r="14" spans="1:6" ht="24" customHeight="1" x14ac:dyDescent="0.25">
      <c r="A14" s="232" t="s">
        <v>509</v>
      </c>
      <c r="B14" s="232"/>
      <c r="C14" s="232"/>
      <c r="D14" s="232"/>
      <c r="E14" s="232"/>
      <c r="F14" s="6">
        <f>SUM(F12:F13)</f>
        <v>891.73237500000005</v>
      </c>
    </row>
    <row r="15" spans="1:6" ht="24" customHeight="1" x14ac:dyDescent="0.25">
      <c r="A15" s="232" t="s">
        <v>510</v>
      </c>
      <c r="B15" s="232"/>
      <c r="C15" s="232"/>
      <c r="D15" s="232"/>
      <c r="E15" s="232"/>
      <c r="F15" s="6">
        <f>F14/'QTD TOTAL SERVENTE-ENCARREGADO'!G4</f>
        <v>8.8290334158415842</v>
      </c>
    </row>
    <row r="18" spans="1:6" ht="27.75" customHeight="1" x14ac:dyDescent="0.25">
      <c r="A18" s="232" t="s">
        <v>511</v>
      </c>
      <c r="B18" s="232"/>
      <c r="C18" s="232"/>
      <c r="D18" s="232"/>
      <c r="E18" s="232"/>
      <c r="F18" s="232"/>
    </row>
    <row r="19" spans="1:6" ht="27.75" customHeight="1" x14ac:dyDescent="0.25">
      <c r="A19" s="2" t="s">
        <v>463</v>
      </c>
      <c r="B19" s="2" t="s">
        <v>2</v>
      </c>
      <c r="C19" s="2" t="s">
        <v>312</v>
      </c>
      <c r="D19" s="2" t="s">
        <v>4</v>
      </c>
      <c r="E19" s="2" t="s">
        <v>5</v>
      </c>
      <c r="F19" s="2" t="s">
        <v>314</v>
      </c>
    </row>
    <row r="20" spans="1:6" ht="114.75" x14ac:dyDescent="0.25">
      <c r="A20" s="1">
        <v>1</v>
      </c>
      <c r="B20" s="4" t="s">
        <v>494</v>
      </c>
      <c r="C20" s="11" t="s">
        <v>495</v>
      </c>
      <c r="D20" s="1">
        <v>2</v>
      </c>
      <c r="E20" s="5">
        <v>329.9</v>
      </c>
      <c r="F20" s="5">
        <f>Tabela46[[#This Row],[QTD]]*Tabela46[[#This Row],[VALOR UNITÁRIO]]</f>
        <v>659.8</v>
      </c>
    </row>
    <row r="21" spans="1:6" ht="157.5" x14ac:dyDescent="0.25">
      <c r="A21" s="1">
        <v>2</v>
      </c>
      <c r="B21" s="4" t="s">
        <v>496</v>
      </c>
      <c r="C21" s="11" t="s">
        <v>497</v>
      </c>
      <c r="D21" s="1">
        <v>5</v>
      </c>
      <c r="E21" s="5">
        <v>526.41</v>
      </c>
      <c r="F21" s="5">
        <f>Tabela46[[#This Row],[QTD]]*Tabela46[[#This Row],[VALOR UNITÁRIO]]</f>
        <v>2632.0499999999997</v>
      </c>
    </row>
    <row r="22" spans="1:6" ht="43.5" x14ac:dyDescent="0.25">
      <c r="A22" s="1">
        <v>3</v>
      </c>
      <c r="B22" s="4" t="s">
        <v>498</v>
      </c>
      <c r="C22" s="11" t="s">
        <v>495</v>
      </c>
      <c r="D22" s="1">
        <v>7</v>
      </c>
      <c r="E22" s="5">
        <v>1979.99</v>
      </c>
      <c r="F22" s="5">
        <f>Tabela46[[#This Row],[QTD]]*Tabela46[[#This Row],[VALOR UNITÁRIO]]</f>
        <v>13859.93</v>
      </c>
    </row>
    <row r="23" spans="1:6" ht="157.5" x14ac:dyDescent="0.25">
      <c r="A23" s="1">
        <v>4</v>
      </c>
      <c r="B23" s="4" t="s">
        <v>499</v>
      </c>
      <c r="C23" s="11" t="s">
        <v>500</v>
      </c>
      <c r="D23" s="1">
        <v>7</v>
      </c>
      <c r="E23" s="5">
        <v>2638.5</v>
      </c>
      <c r="F23" s="5">
        <f>Tabela46[[#This Row],[QTD]]*Tabela46[[#This Row],[VALOR UNITÁRIO]]</f>
        <v>18469.5</v>
      </c>
    </row>
    <row r="24" spans="1:6" ht="29.25" x14ac:dyDescent="0.25">
      <c r="A24" s="1">
        <v>5</v>
      </c>
      <c r="B24" s="4" t="s">
        <v>501</v>
      </c>
      <c r="C24" s="11" t="s">
        <v>156</v>
      </c>
      <c r="D24" s="1">
        <v>17</v>
      </c>
      <c r="E24" s="5">
        <v>335.91</v>
      </c>
      <c r="F24" s="5">
        <f>Tabela46[[#This Row],[QTD]]*Tabela46[[#This Row],[VALOR UNITÁRIO]]</f>
        <v>5710.47</v>
      </c>
    </row>
    <row r="25" spans="1:6" ht="43.5" x14ac:dyDescent="0.25">
      <c r="A25" s="1">
        <v>6</v>
      </c>
      <c r="B25" s="4" t="s">
        <v>502</v>
      </c>
      <c r="C25" s="11" t="s">
        <v>156</v>
      </c>
      <c r="D25" s="1">
        <v>2</v>
      </c>
      <c r="E25" s="5">
        <v>664.9</v>
      </c>
      <c r="F25" s="5">
        <f>Tabela46[[#This Row],[QTD]]*Tabela46[[#This Row],[VALOR UNITÁRIO]]</f>
        <v>1329.8</v>
      </c>
    </row>
    <row r="26" spans="1:6" ht="29.25" x14ac:dyDescent="0.25">
      <c r="A26" s="1">
        <v>7</v>
      </c>
      <c r="B26" s="4" t="s">
        <v>503</v>
      </c>
      <c r="C26" s="11" t="s">
        <v>156</v>
      </c>
      <c r="D26" s="1">
        <v>17</v>
      </c>
      <c r="E26" s="5">
        <v>364.23</v>
      </c>
      <c r="F26" s="5">
        <f>Tabela46[[#This Row],[QTD]]*Tabela46[[#This Row],[VALOR UNITÁRIO]]</f>
        <v>6191.91</v>
      </c>
    </row>
    <row r="27" spans="1:6" ht="171.75" x14ac:dyDescent="0.25">
      <c r="A27" s="1">
        <v>8</v>
      </c>
      <c r="B27" s="4" t="s">
        <v>504</v>
      </c>
      <c r="C27" s="11" t="s">
        <v>505</v>
      </c>
      <c r="D27" s="1">
        <v>4</v>
      </c>
      <c r="E27" s="5">
        <v>796.39</v>
      </c>
      <c r="F27" s="5">
        <f>Tabela46[[#This Row],[QTD]]*Tabela46[[#This Row],[VALOR UNITÁRIO]]</f>
        <v>3185.56</v>
      </c>
    </row>
    <row r="28" spans="1:6" ht="24" customHeight="1" x14ac:dyDescent="0.25">
      <c r="A28" s="232" t="s">
        <v>506</v>
      </c>
      <c r="B28" s="232"/>
      <c r="C28" s="232"/>
      <c r="D28" s="232"/>
      <c r="E28" s="232"/>
      <c r="F28" s="6">
        <f>SUM(Tabela46[VALOR TOTAL])</f>
        <v>52039.020000000004</v>
      </c>
    </row>
    <row r="29" spans="1:6" ht="24" customHeight="1" x14ac:dyDescent="0.25">
      <c r="A29" s="232" t="s">
        <v>507</v>
      </c>
      <c r="B29" s="232"/>
      <c r="C29" s="232"/>
      <c r="D29" s="232"/>
      <c r="E29" s="232"/>
      <c r="F29" s="6">
        <f>(F28-(F28*10%))/10/12</f>
        <v>390.29265000000004</v>
      </c>
    </row>
    <row r="30" spans="1:6" ht="24" customHeight="1" x14ac:dyDescent="0.25">
      <c r="A30" s="232" t="s">
        <v>508</v>
      </c>
      <c r="B30" s="232"/>
      <c r="C30" s="232"/>
      <c r="D30" s="232"/>
      <c r="E30" s="232"/>
      <c r="F30" s="6">
        <f>F28*0.5%</f>
        <v>260.19510000000002</v>
      </c>
    </row>
    <row r="31" spans="1:6" ht="24" customHeight="1" x14ac:dyDescent="0.25">
      <c r="A31" s="232" t="s">
        <v>509</v>
      </c>
      <c r="B31" s="232"/>
      <c r="C31" s="232"/>
      <c r="D31" s="232"/>
      <c r="E31" s="232"/>
      <c r="F31" s="6">
        <f>SUM(F29:F30)</f>
        <v>650.48775000000001</v>
      </c>
    </row>
    <row r="32" spans="1:6" ht="24" customHeight="1" x14ac:dyDescent="0.25">
      <c r="A32" s="232" t="s">
        <v>510</v>
      </c>
      <c r="B32" s="232"/>
      <c r="C32" s="232"/>
      <c r="D32" s="232"/>
      <c r="E32" s="232"/>
      <c r="F32" s="6">
        <f>F31/'QTD TOTAL SERVENTE-ENCARREGADO'!G5</f>
        <v>9.5659963235294114</v>
      </c>
    </row>
    <row r="35" spans="1:6" ht="27.75" customHeight="1" x14ac:dyDescent="0.25">
      <c r="A35" s="232" t="s">
        <v>512</v>
      </c>
      <c r="B35" s="232"/>
      <c r="C35" s="232"/>
      <c r="D35" s="232"/>
      <c r="E35" s="232"/>
      <c r="F35" s="232"/>
    </row>
    <row r="36" spans="1:6" ht="27.75" customHeight="1" x14ac:dyDescent="0.25">
      <c r="A36" s="2" t="s">
        <v>463</v>
      </c>
      <c r="B36" s="2" t="s">
        <v>2</v>
      </c>
      <c r="C36" s="2" t="s">
        <v>312</v>
      </c>
      <c r="D36" s="2" t="s">
        <v>4</v>
      </c>
      <c r="E36" s="2" t="s">
        <v>5</v>
      </c>
      <c r="F36" s="2" t="s">
        <v>314</v>
      </c>
    </row>
    <row r="37" spans="1:6" ht="114.75" x14ac:dyDescent="0.25">
      <c r="A37" s="1">
        <v>1</v>
      </c>
      <c r="B37" s="4" t="s">
        <v>494</v>
      </c>
      <c r="C37" s="11" t="s">
        <v>495</v>
      </c>
      <c r="D37" s="1">
        <v>1</v>
      </c>
      <c r="E37" s="5">
        <v>329.9</v>
      </c>
      <c r="F37" s="5">
        <f>Tabela47[[#This Row],[QTD]]*Tabela47[[#This Row],[VALOR UNITÁRIO]]</f>
        <v>329.9</v>
      </c>
    </row>
    <row r="38" spans="1:6" ht="157.5" x14ac:dyDescent="0.25">
      <c r="A38" s="1">
        <v>2</v>
      </c>
      <c r="B38" s="4" t="s">
        <v>496</v>
      </c>
      <c r="C38" s="11" t="s">
        <v>497</v>
      </c>
      <c r="D38" s="1">
        <v>3</v>
      </c>
      <c r="E38" s="5">
        <v>526.41</v>
      </c>
      <c r="F38" s="5">
        <f>Tabela47[[#This Row],[QTD]]*Tabela47[[#This Row],[VALOR UNITÁRIO]]</f>
        <v>1579.23</v>
      </c>
    </row>
    <row r="39" spans="1:6" ht="43.5" x14ac:dyDescent="0.25">
      <c r="A39" s="1">
        <v>3</v>
      </c>
      <c r="B39" s="4" t="s">
        <v>498</v>
      </c>
      <c r="C39" s="11" t="s">
        <v>495</v>
      </c>
      <c r="D39" s="1">
        <v>4</v>
      </c>
      <c r="E39" s="5">
        <v>1979.99</v>
      </c>
      <c r="F39" s="5">
        <f>Tabela47[[#This Row],[QTD]]*Tabela47[[#This Row],[VALOR UNITÁRIO]]</f>
        <v>7919.96</v>
      </c>
    </row>
    <row r="40" spans="1:6" ht="157.5" x14ac:dyDescent="0.25">
      <c r="A40" s="1">
        <v>4</v>
      </c>
      <c r="B40" s="4" t="s">
        <v>499</v>
      </c>
      <c r="C40" s="11" t="s">
        <v>500</v>
      </c>
      <c r="D40" s="1">
        <v>4</v>
      </c>
      <c r="E40" s="5">
        <v>2638.5</v>
      </c>
      <c r="F40" s="5">
        <f>Tabela47[[#This Row],[QTD]]*Tabela47[[#This Row],[VALOR UNITÁRIO]]</f>
        <v>10554</v>
      </c>
    </row>
    <row r="41" spans="1:6" ht="29.25" x14ac:dyDescent="0.25">
      <c r="A41" s="1">
        <v>5</v>
      </c>
      <c r="B41" s="4" t="s">
        <v>501</v>
      </c>
      <c r="C41" s="11" t="s">
        <v>156</v>
      </c>
      <c r="D41" s="1">
        <v>10</v>
      </c>
      <c r="E41" s="5">
        <v>335.91</v>
      </c>
      <c r="F41" s="5">
        <f>Tabela47[[#This Row],[QTD]]*Tabela47[[#This Row],[VALOR UNITÁRIO]]</f>
        <v>3359.1000000000004</v>
      </c>
    </row>
    <row r="42" spans="1:6" ht="43.5" x14ac:dyDescent="0.25">
      <c r="A42" s="1">
        <v>6</v>
      </c>
      <c r="B42" s="4" t="s">
        <v>502</v>
      </c>
      <c r="C42" s="11" t="s">
        <v>156</v>
      </c>
      <c r="D42" s="1">
        <v>1</v>
      </c>
      <c r="E42" s="5">
        <v>664.9</v>
      </c>
      <c r="F42" s="5">
        <f>Tabela47[[#This Row],[QTD]]*Tabela47[[#This Row],[VALOR UNITÁRIO]]</f>
        <v>664.9</v>
      </c>
    </row>
    <row r="43" spans="1:6" ht="29.25" x14ac:dyDescent="0.25">
      <c r="A43" s="1">
        <v>7</v>
      </c>
      <c r="B43" s="4" t="s">
        <v>503</v>
      </c>
      <c r="C43" s="11" t="s">
        <v>156</v>
      </c>
      <c r="D43" s="1">
        <v>10</v>
      </c>
      <c r="E43" s="5">
        <v>364.23</v>
      </c>
      <c r="F43" s="5">
        <f>Tabela47[[#This Row],[QTD]]*Tabela47[[#This Row],[VALOR UNITÁRIO]]</f>
        <v>3642.3</v>
      </c>
    </row>
    <row r="44" spans="1:6" ht="171.75" x14ac:dyDescent="0.25">
      <c r="A44" s="1">
        <v>8</v>
      </c>
      <c r="B44" s="4" t="s">
        <v>504</v>
      </c>
      <c r="C44" s="11" t="s">
        <v>505</v>
      </c>
      <c r="D44" s="1">
        <v>2</v>
      </c>
      <c r="E44" s="5">
        <v>796.39</v>
      </c>
      <c r="F44" s="5">
        <f>Tabela47[[#This Row],[QTD]]*Tabela47[[#This Row],[VALOR UNITÁRIO]]</f>
        <v>1592.78</v>
      </c>
    </row>
    <row r="45" spans="1:6" ht="24" customHeight="1" x14ac:dyDescent="0.25">
      <c r="A45" s="232" t="s">
        <v>506</v>
      </c>
      <c r="B45" s="232"/>
      <c r="C45" s="232"/>
      <c r="D45" s="232"/>
      <c r="E45" s="232"/>
      <c r="F45" s="6">
        <f>SUM(Tabela47[VALOR TOTAL])</f>
        <v>29642.170000000002</v>
      </c>
    </row>
    <row r="46" spans="1:6" ht="24" customHeight="1" x14ac:dyDescent="0.25">
      <c r="A46" s="232" t="s">
        <v>507</v>
      </c>
      <c r="B46" s="232"/>
      <c r="C46" s="232"/>
      <c r="D46" s="232"/>
      <c r="E46" s="232"/>
      <c r="F46" s="6">
        <f>(F45-(F45*10%))/10/12</f>
        <v>222.31627500000002</v>
      </c>
    </row>
    <row r="47" spans="1:6" ht="24" customHeight="1" x14ac:dyDescent="0.25">
      <c r="A47" s="232" t="s">
        <v>508</v>
      </c>
      <c r="B47" s="232"/>
      <c r="C47" s="232"/>
      <c r="D47" s="232"/>
      <c r="E47" s="232"/>
      <c r="F47" s="6">
        <f>F45*0.5%</f>
        <v>148.21085000000002</v>
      </c>
    </row>
    <row r="48" spans="1:6" ht="24" customHeight="1" x14ac:dyDescent="0.25">
      <c r="A48" s="232" t="s">
        <v>509</v>
      </c>
      <c r="B48" s="232"/>
      <c r="C48" s="232"/>
      <c r="D48" s="232"/>
      <c r="E48" s="232"/>
      <c r="F48" s="6">
        <f>SUM(F46:F47)</f>
        <v>370.52712500000007</v>
      </c>
    </row>
    <row r="49" spans="1:6" ht="24" customHeight="1" x14ac:dyDescent="0.25">
      <c r="A49" s="232" t="s">
        <v>510</v>
      </c>
      <c r="B49" s="232"/>
      <c r="C49" s="232"/>
      <c r="D49" s="232"/>
      <c r="E49" s="232"/>
      <c r="F49" s="6">
        <f>F48/'QTD TOTAL SERVENTE-ENCARREGADO'!G6</f>
        <v>8.2339361111111131</v>
      </c>
    </row>
    <row r="51" spans="1:6" ht="30.75" customHeight="1" x14ac:dyDescent="0.25">
      <c r="A51" s="243" t="s">
        <v>513</v>
      </c>
      <c r="B51" s="243"/>
      <c r="C51" s="243"/>
      <c r="D51" s="243"/>
      <c r="E51" s="243"/>
      <c r="F51" s="243"/>
    </row>
    <row r="52" spans="1:6" ht="29.25" customHeight="1" x14ac:dyDescent="0.25">
      <c r="A52" s="243" t="s">
        <v>514</v>
      </c>
      <c r="B52" s="243"/>
      <c r="C52" s="243"/>
      <c r="D52" s="243"/>
      <c r="E52" s="243"/>
      <c r="F52" s="243"/>
    </row>
    <row r="53" spans="1:6" ht="30.75" customHeight="1" x14ac:dyDescent="0.25">
      <c r="A53" s="243" t="s">
        <v>515</v>
      </c>
      <c r="B53" s="243"/>
      <c r="C53" s="243"/>
      <c r="D53" s="243"/>
      <c r="E53" s="243"/>
      <c r="F53" s="243"/>
    </row>
    <row r="54" spans="1:6" ht="30" customHeight="1" x14ac:dyDescent="0.25">
      <c r="A54" s="243" t="s">
        <v>516</v>
      </c>
      <c r="B54" s="243"/>
      <c r="C54" s="243"/>
      <c r="D54" s="243"/>
      <c r="E54" s="243"/>
      <c r="F54" s="243"/>
    </row>
    <row r="55" spans="1:6" x14ac:dyDescent="0.25">
      <c r="A55" s="243" t="s">
        <v>517</v>
      </c>
      <c r="B55" s="243"/>
      <c r="C55" s="243"/>
      <c r="D55" s="243"/>
      <c r="E55" s="243"/>
      <c r="F55" s="243"/>
    </row>
    <row r="56" spans="1:6" ht="29.25" customHeight="1" x14ac:dyDescent="0.25">
      <c r="A56" s="243" t="s">
        <v>518</v>
      </c>
      <c r="B56" s="243"/>
      <c r="C56" s="243"/>
      <c r="D56" s="243"/>
      <c r="E56" s="243"/>
      <c r="F56" s="243"/>
    </row>
    <row r="57" spans="1:6" ht="30" customHeight="1" x14ac:dyDescent="0.25">
      <c r="A57" s="243" t="s">
        <v>519</v>
      </c>
      <c r="B57" s="243"/>
      <c r="C57" s="243"/>
      <c r="D57" s="243"/>
      <c r="E57" s="243"/>
      <c r="F57" s="243"/>
    </row>
    <row r="58" spans="1:6" ht="46.5" customHeight="1" x14ac:dyDescent="0.25">
      <c r="A58" s="243" t="s">
        <v>520</v>
      </c>
      <c r="B58" s="243"/>
      <c r="C58" s="243"/>
      <c r="D58" s="243"/>
      <c r="E58" s="243"/>
      <c r="F58" s="243"/>
    </row>
    <row r="59" spans="1:6" ht="30" customHeight="1" x14ac:dyDescent="0.25">
      <c r="A59" s="243" t="s">
        <v>521</v>
      </c>
      <c r="B59" s="243"/>
      <c r="C59" s="243"/>
      <c r="D59" s="243"/>
      <c r="E59" s="243"/>
      <c r="F59" s="243"/>
    </row>
    <row r="60" spans="1:6" ht="30.75" customHeight="1" x14ac:dyDescent="0.25">
      <c r="A60" s="243" t="s">
        <v>522</v>
      </c>
      <c r="B60" s="243"/>
      <c r="C60" s="243"/>
      <c r="D60" s="243"/>
      <c r="E60" s="243"/>
      <c r="F60" s="243"/>
    </row>
  </sheetData>
  <mergeCells count="28">
    <mergeCell ref="A56:F56"/>
    <mergeCell ref="A57:F57"/>
    <mergeCell ref="A58:F58"/>
    <mergeCell ref="A59:F59"/>
    <mergeCell ref="A60:F60"/>
    <mergeCell ref="A51:F51"/>
    <mergeCell ref="A52:F52"/>
    <mergeCell ref="A53:F53"/>
    <mergeCell ref="A54:F54"/>
    <mergeCell ref="A55:F55"/>
    <mergeCell ref="A18:F18"/>
    <mergeCell ref="A1:F1"/>
    <mergeCell ref="A11:E11"/>
    <mergeCell ref="A12:E12"/>
    <mergeCell ref="A13:E13"/>
    <mergeCell ref="A14:E14"/>
    <mergeCell ref="A15:E15"/>
    <mergeCell ref="A49:E49"/>
    <mergeCell ref="A28:E28"/>
    <mergeCell ref="A29:E29"/>
    <mergeCell ref="A30:E30"/>
    <mergeCell ref="A31:E31"/>
    <mergeCell ref="A35:F35"/>
    <mergeCell ref="A46:E46"/>
    <mergeCell ref="A47:E47"/>
    <mergeCell ref="A48:E48"/>
    <mergeCell ref="A45:E45"/>
    <mergeCell ref="A32:E32"/>
  </mergeCells>
  <printOptions horizontalCentered="1"/>
  <pageMargins left="0.51181102362204722" right="0.51181102362204722" top="0.59055118110236227" bottom="0.39370078740157483" header="0.31496062992125984" footer="0.31496062992125984"/>
  <pageSetup paperSize="9" scale="74" fitToHeight="0" orientation="portrait" horizontalDpi="300" verticalDpi="300" r:id="rId1"/>
  <headerFooter>
    <oddHeader>&amp;C&amp;"Arial,Negrito"&amp;14&amp;UPLANILHA COM A ESTIMATIVA DE GASTOS PARA DISPONIBILIZAÇÃO DE EQUIPAMENTOS</oddHeader>
  </headerFooter>
  <rowBreaks count="2" manualBreakCount="2">
    <brk id="17" max="16383" man="1"/>
    <brk id="34" max="16383" man="1"/>
  </rowBreaks>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N27"/>
  <sheetViews>
    <sheetView workbookViewId="0"/>
  </sheetViews>
  <sheetFormatPr defaultRowHeight="14.25" x14ac:dyDescent="0.25"/>
  <cols>
    <col min="1" max="2" width="15.5703125" style="49" customWidth="1"/>
    <col min="3" max="3" width="16.28515625" style="49" customWidth="1"/>
    <col min="4" max="4" width="27.7109375" style="49" customWidth="1"/>
    <col min="5" max="5" width="56.7109375" style="49" customWidth="1"/>
    <col min="6" max="6" width="14.5703125" style="49" customWidth="1"/>
    <col min="7" max="7" width="26.7109375" style="49" customWidth="1"/>
    <col min="8" max="9" width="9.140625" style="49"/>
    <col min="10" max="11" width="10.5703125" style="49" hidden="1" customWidth="1"/>
    <col min="12" max="12" width="9.42578125" style="49" hidden="1" customWidth="1"/>
    <col min="13" max="13" width="10.85546875" style="49" hidden="1" customWidth="1"/>
    <col min="14" max="14" width="10.5703125" style="49" hidden="1" customWidth="1"/>
    <col min="15" max="16384" width="9.140625" style="49"/>
  </cols>
  <sheetData>
    <row r="2" spans="1:14" ht="27" customHeight="1" x14ac:dyDescent="0.25">
      <c r="A2" s="232" t="s">
        <v>523</v>
      </c>
      <c r="B2" s="232"/>
      <c r="C2" s="232"/>
      <c r="D2" s="232"/>
      <c r="E2" s="232"/>
      <c r="F2" s="232"/>
      <c r="G2" s="232"/>
    </row>
    <row r="3" spans="1:14" ht="45" x14ac:dyDescent="0.25">
      <c r="A3" s="12" t="s">
        <v>524</v>
      </c>
      <c r="B3" s="14" t="s">
        <v>525</v>
      </c>
      <c r="C3" s="14" t="s">
        <v>526</v>
      </c>
      <c r="D3" s="14" t="s">
        <v>527</v>
      </c>
      <c r="E3" s="12" t="s">
        <v>2</v>
      </c>
      <c r="F3" s="14" t="s">
        <v>5</v>
      </c>
      <c r="G3" s="14" t="s">
        <v>528</v>
      </c>
      <c r="J3" s="107" t="s">
        <v>529</v>
      </c>
      <c r="K3" s="107" t="s">
        <v>530</v>
      </c>
      <c r="L3" s="107" t="s">
        <v>531</v>
      </c>
      <c r="M3" s="108" t="s">
        <v>532</v>
      </c>
    </row>
    <row r="4" spans="1:14" ht="42.75" x14ac:dyDescent="0.25">
      <c r="A4" s="50" t="s">
        <v>533</v>
      </c>
      <c r="B4" s="9">
        <v>2</v>
      </c>
      <c r="C4" s="9">
        <v>1</v>
      </c>
      <c r="D4" s="9">
        <v>7</v>
      </c>
      <c r="E4" s="51" t="s">
        <v>534</v>
      </c>
      <c r="F4" s="52">
        <f>M4</f>
        <v>54.140000000000008</v>
      </c>
      <c r="G4" s="52">
        <f>D4*F4</f>
        <v>378.98000000000008</v>
      </c>
      <c r="J4" s="52">
        <v>69</v>
      </c>
      <c r="K4" s="52">
        <v>36.9</v>
      </c>
      <c r="L4" s="52">
        <v>56.52</v>
      </c>
      <c r="M4" s="109">
        <f>AVERAGE(J4:L4)</f>
        <v>54.140000000000008</v>
      </c>
    </row>
    <row r="5" spans="1:14" ht="28.5" x14ac:dyDescent="0.25">
      <c r="A5" s="50" t="s">
        <v>535</v>
      </c>
      <c r="B5" s="9">
        <v>2</v>
      </c>
      <c r="C5" s="9">
        <v>1</v>
      </c>
      <c r="D5" s="9">
        <v>7</v>
      </c>
      <c r="E5" s="51" t="s">
        <v>536</v>
      </c>
      <c r="F5" s="52">
        <f t="shared" ref="F5:F8" si="0">M5</f>
        <v>18.45</v>
      </c>
      <c r="G5" s="52">
        <f t="shared" ref="G5:G8" si="1">D5*F5</f>
        <v>129.15</v>
      </c>
      <c r="J5" s="52">
        <v>20</v>
      </c>
      <c r="K5" s="52">
        <v>16.899999999999999</v>
      </c>
      <c r="L5" s="52"/>
      <c r="M5" s="109">
        <f t="shared" ref="M5:M8" si="2">AVERAGE(J5:L5)</f>
        <v>18.45</v>
      </c>
    </row>
    <row r="6" spans="1:14" ht="19.5" customHeight="1" x14ac:dyDescent="0.25">
      <c r="A6" s="50" t="s">
        <v>537</v>
      </c>
      <c r="B6" s="9">
        <v>1</v>
      </c>
      <c r="C6" s="9" t="s">
        <v>156</v>
      </c>
      <c r="D6" s="9">
        <v>2</v>
      </c>
      <c r="E6" s="51" t="s">
        <v>538</v>
      </c>
      <c r="F6" s="52">
        <f t="shared" si="0"/>
        <v>11.844999999999999</v>
      </c>
      <c r="G6" s="52">
        <f t="shared" si="1"/>
        <v>23.689999999999998</v>
      </c>
      <c r="J6" s="52">
        <v>11.99</v>
      </c>
      <c r="K6" s="52">
        <v>11.7</v>
      </c>
      <c r="L6" s="52"/>
      <c r="M6" s="109">
        <f t="shared" si="2"/>
        <v>11.844999999999999</v>
      </c>
    </row>
    <row r="7" spans="1:14" ht="71.25" x14ac:dyDescent="0.25">
      <c r="A7" s="50" t="s">
        <v>539</v>
      </c>
      <c r="B7" s="9">
        <v>1</v>
      </c>
      <c r="C7" s="9" t="s">
        <v>156</v>
      </c>
      <c r="D7" s="9">
        <v>1</v>
      </c>
      <c r="E7" s="51" t="s">
        <v>540</v>
      </c>
      <c r="F7" s="52">
        <f t="shared" si="0"/>
        <v>36.43</v>
      </c>
      <c r="G7" s="52">
        <f t="shared" si="1"/>
        <v>36.43</v>
      </c>
      <c r="J7" s="52">
        <v>39.99</v>
      </c>
      <c r="K7" s="52">
        <v>34.99</v>
      </c>
      <c r="L7" s="52">
        <v>34.31</v>
      </c>
      <c r="M7" s="109">
        <f t="shared" si="2"/>
        <v>36.43</v>
      </c>
    </row>
    <row r="8" spans="1:14" ht="57" x14ac:dyDescent="0.25">
      <c r="A8" s="50" t="s">
        <v>541</v>
      </c>
      <c r="B8" s="9">
        <v>1</v>
      </c>
      <c r="C8" s="9" t="s">
        <v>156</v>
      </c>
      <c r="D8" s="9">
        <v>1</v>
      </c>
      <c r="E8" s="51" t="s">
        <v>542</v>
      </c>
      <c r="F8" s="52">
        <f t="shared" si="0"/>
        <v>22.805</v>
      </c>
      <c r="G8" s="52">
        <f t="shared" si="1"/>
        <v>22.805</v>
      </c>
      <c r="J8" s="52">
        <v>20.71</v>
      </c>
      <c r="K8" s="52">
        <v>24.9</v>
      </c>
      <c r="L8" s="52"/>
      <c r="M8" s="109">
        <f t="shared" si="2"/>
        <v>22.805</v>
      </c>
    </row>
    <row r="9" spans="1:14" ht="30" customHeight="1" x14ac:dyDescent="0.25">
      <c r="A9" s="232" t="s">
        <v>543</v>
      </c>
      <c r="B9" s="232"/>
      <c r="C9" s="232"/>
      <c r="D9" s="232"/>
      <c r="E9" s="232"/>
      <c r="F9" s="232"/>
      <c r="G9" s="53">
        <f>SUM(G4:G8)</f>
        <v>591.05500000000006</v>
      </c>
    </row>
    <row r="12" spans="1:14" ht="24" customHeight="1" x14ac:dyDescent="0.25">
      <c r="A12" s="232" t="s">
        <v>544</v>
      </c>
      <c r="B12" s="232"/>
      <c r="C12" s="232"/>
      <c r="D12" s="232"/>
      <c r="E12" s="232"/>
      <c r="F12" s="232"/>
      <c r="G12" s="232"/>
    </row>
    <row r="13" spans="1:14" ht="45" x14ac:dyDescent="0.25">
      <c r="A13" s="12" t="s">
        <v>524</v>
      </c>
      <c r="B13" s="14" t="s">
        <v>525</v>
      </c>
      <c r="C13" s="14" t="s">
        <v>526</v>
      </c>
      <c r="D13" s="14" t="s">
        <v>527</v>
      </c>
      <c r="E13" s="12" t="s">
        <v>2</v>
      </c>
      <c r="F13" s="14" t="s">
        <v>5</v>
      </c>
      <c r="G13" s="14" t="s">
        <v>528</v>
      </c>
      <c r="J13" s="107" t="s">
        <v>529</v>
      </c>
      <c r="K13" s="107" t="s">
        <v>530</v>
      </c>
      <c r="L13" s="107" t="s">
        <v>531</v>
      </c>
      <c r="M13" s="108" t="s">
        <v>545</v>
      </c>
      <c r="N13" s="108" t="s">
        <v>532</v>
      </c>
    </row>
    <row r="14" spans="1:14" ht="42.75" x14ac:dyDescent="0.25">
      <c r="A14" s="50" t="s">
        <v>546</v>
      </c>
      <c r="B14" s="9">
        <v>2</v>
      </c>
      <c r="C14" s="9">
        <v>1</v>
      </c>
      <c r="D14" s="9">
        <v>7</v>
      </c>
      <c r="E14" s="51" t="s">
        <v>547</v>
      </c>
      <c r="F14" s="52">
        <f>M14</f>
        <v>168.41000000000003</v>
      </c>
      <c r="G14" s="52">
        <f>D14*F14</f>
        <v>1178.8700000000001</v>
      </c>
      <c r="J14" s="52">
        <v>101.92</v>
      </c>
      <c r="K14" s="52">
        <v>160</v>
      </c>
      <c r="L14" s="52"/>
      <c r="M14" s="244">
        <f>SUM(N14:N15)</f>
        <v>168.41000000000003</v>
      </c>
      <c r="N14" s="109">
        <f>AVERAGE(J14:L14)</f>
        <v>130.96</v>
      </c>
    </row>
    <row r="15" spans="1:14" ht="28.5" x14ac:dyDescent="0.25">
      <c r="A15" s="50" t="s">
        <v>548</v>
      </c>
      <c r="B15" s="9">
        <v>2</v>
      </c>
      <c r="C15" s="9">
        <v>1</v>
      </c>
      <c r="D15" s="9">
        <v>7</v>
      </c>
      <c r="E15" s="51" t="s">
        <v>549</v>
      </c>
      <c r="F15" s="52">
        <f>N16</f>
        <v>50</v>
      </c>
      <c r="G15" s="52">
        <f t="shared" ref="G15:G17" si="3">D15*F15</f>
        <v>350</v>
      </c>
      <c r="J15" s="52">
        <v>26</v>
      </c>
      <c r="K15" s="52">
        <v>48.9</v>
      </c>
      <c r="L15" s="52"/>
      <c r="M15" s="245"/>
      <c r="N15" s="109">
        <f>AVERAGE(J15:L15)</f>
        <v>37.450000000000003</v>
      </c>
    </row>
    <row r="16" spans="1:14" ht="28.5" x14ac:dyDescent="0.25">
      <c r="A16" s="50" t="s">
        <v>537</v>
      </c>
      <c r="B16" s="9">
        <v>1</v>
      </c>
      <c r="C16" s="9" t="s">
        <v>156</v>
      </c>
      <c r="D16" s="9">
        <v>2</v>
      </c>
      <c r="E16" s="51" t="s">
        <v>550</v>
      </c>
      <c r="F16" s="52">
        <f t="shared" ref="F16:F17" si="4">N17</f>
        <v>14.263333333333334</v>
      </c>
      <c r="G16" s="52">
        <f t="shared" si="3"/>
        <v>28.526666666666667</v>
      </c>
      <c r="J16" s="52">
        <v>50</v>
      </c>
      <c r="K16" s="52">
        <v>50</v>
      </c>
      <c r="L16" s="52"/>
      <c r="M16" s="110"/>
      <c r="N16" s="109">
        <f>AVERAGE(J16:L16)</f>
        <v>50</v>
      </c>
    </row>
    <row r="17" spans="1:14" ht="60" customHeight="1" x14ac:dyDescent="0.25">
      <c r="A17" s="50" t="s">
        <v>551</v>
      </c>
      <c r="B17" s="9">
        <v>1</v>
      </c>
      <c r="C17" s="9" t="s">
        <v>156</v>
      </c>
      <c r="D17" s="9">
        <v>1</v>
      </c>
      <c r="E17" s="51" t="s">
        <v>552</v>
      </c>
      <c r="F17" s="52">
        <f t="shared" si="4"/>
        <v>62.99</v>
      </c>
      <c r="G17" s="52">
        <f t="shared" si="3"/>
        <v>62.99</v>
      </c>
      <c r="J17" s="52">
        <v>16.899999999999999</v>
      </c>
      <c r="K17" s="52">
        <v>15.9</v>
      </c>
      <c r="L17" s="52">
        <v>9.99</v>
      </c>
      <c r="M17" s="110"/>
      <c r="N17" s="109">
        <f>AVERAGE(J17:L17)</f>
        <v>14.263333333333334</v>
      </c>
    </row>
    <row r="18" spans="1:14" ht="30" customHeight="1" x14ac:dyDescent="0.25">
      <c r="A18" s="232" t="s">
        <v>553</v>
      </c>
      <c r="B18" s="232"/>
      <c r="C18" s="232"/>
      <c r="D18" s="232"/>
      <c r="E18" s="232"/>
      <c r="F18" s="232"/>
      <c r="G18" s="53">
        <f>SUM(G14:G17)</f>
        <v>1620.3866666666668</v>
      </c>
      <c r="J18" s="52">
        <v>64.989999999999995</v>
      </c>
      <c r="K18" s="52">
        <v>59.99</v>
      </c>
      <c r="L18" s="52">
        <v>63.99</v>
      </c>
      <c r="M18" s="110"/>
      <c r="N18" s="109">
        <f>AVERAGE(J18:L18)</f>
        <v>62.99</v>
      </c>
    </row>
    <row r="21" spans="1:14" ht="21" customHeight="1" x14ac:dyDescent="0.25">
      <c r="A21" s="232" t="s">
        <v>554</v>
      </c>
      <c r="B21" s="232"/>
      <c r="C21" s="232"/>
      <c r="D21" s="232"/>
      <c r="E21" s="12" t="s">
        <v>555</v>
      </c>
    </row>
    <row r="22" spans="1:14" ht="21" customHeight="1" x14ac:dyDescent="0.25">
      <c r="A22" s="244">
        <f>G9</f>
        <v>591.05500000000006</v>
      </c>
      <c r="B22" s="244"/>
      <c r="C22" s="244"/>
      <c r="D22" s="244"/>
      <c r="E22" s="52">
        <f>A22/30</f>
        <v>19.701833333333337</v>
      </c>
    </row>
    <row r="24" spans="1:14" ht="21" customHeight="1" x14ac:dyDescent="0.25">
      <c r="A24" s="232" t="s">
        <v>556</v>
      </c>
      <c r="B24" s="232"/>
      <c r="C24" s="232"/>
      <c r="D24" s="232"/>
      <c r="E24" s="12" t="s">
        <v>557</v>
      </c>
    </row>
    <row r="25" spans="1:14" ht="21" customHeight="1" x14ac:dyDescent="0.25">
      <c r="A25" s="244">
        <f>G18</f>
        <v>1620.3866666666668</v>
      </c>
      <c r="B25" s="244"/>
      <c r="C25" s="244"/>
      <c r="D25" s="244"/>
      <c r="E25" s="52">
        <f>A25/30</f>
        <v>54.012888888888895</v>
      </c>
    </row>
    <row r="27" spans="1:14" ht="48.75" customHeight="1" x14ac:dyDescent="0.25">
      <c r="A27" s="243" t="s">
        <v>558</v>
      </c>
      <c r="B27" s="243"/>
      <c r="C27" s="243"/>
      <c r="D27" s="243"/>
      <c r="E27" s="243"/>
      <c r="F27" s="243"/>
      <c r="G27" s="243"/>
    </row>
  </sheetData>
  <mergeCells count="10">
    <mergeCell ref="A2:G2"/>
    <mergeCell ref="A9:F9"/>
    <mergeCell ref="A12:G12"/>
    <mergeCell ref="A18:F18"/>
    <mergeCell ref="A21:D21"/>
    <mergeCell ref="A27:G27"/>
    <mergeCell ref="M14:M15"/>
    <mergeCell ref="A24:D24"/>
    <mergeCell ref="A22:D22"/>
    <mergeCell ref="A25:D25"/>
  </mergeCells>
  <printOptions horizontalCentered="1"/>
  <pageMargins left="0.51181102362204722" right="0.51181102362204722" top="0.78740157480314965" bottom="0.78740157480314965" header="0.31496062992125984" footer="0.31496062992125984"/>
  <pageSetup paperSize="9" scale="61" orientation="landscape" horizontalDpi="300" verticalDpi="300" r:id="rId1"/>
  <headerFooter>
    <oddHeader>&amp;C&amp;"Arial,Negrito"&amp;14&amp;UPLANILHA DE ESTIMATIVA DE GASTOS COM UNIFORMES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16"/>
  <sheetViews>
    <sheetView workbookViewId="0">
      <selection activeCell="A10" sqref="A10:XFD16"/>
    </sheetView>
  </sheetViews>
  <sheetFormatPr defaultRowHeight="14.25" x14ac:dyDescent="0.25"/>
  <cols>
    <col min="1" max="1" width="21.140625" style="1" customWidth="1"/>
    <col min="2" max="2" width="6.28515625" style="1" customWidth="1"/>
    <col min="3" max="3" width="21.140625" style="1" customWidth="1"/>
    <col min="4" max="4" width="6.28515625" style="1" customWidth="1"/>
    <col min="5" max="5" width="21.140625" style="1" customWidth="1"/>
    <col min="6" max="6" width="6.28515625" style="1" customWidth="1"/>
    <col min="7" max="7" width="21.140625" style="1" customWidth="1"/>
    <col min="8" max="8" width="6.28515625" style="1" customWidth="1"/>
    <col min="9" max="9" width="21.140625" style="1" customWidth="1"/>
    <col min="10" max="10" width="6.28515625" style="1" customWidth="1"/>
    <col min="11" max="11" width="21.140625" style="1" customWidth="1"/>
    <col min="12" max="12" width="6.28515625" style="1" customWidth="1"/>
    <col min="13" max="13" width="18.7109375" style="1" customWidth="1"/>
    <col min="14" max="14" width="6.28515625" style="1" customWidth="1"/>
    <col min="15" max="15" width="12.7109375" style="1" customWidth="1"/>
    <col min="16" max="16" width="6.28515625" style="1" customWidth="1"/>
    <col min="17" max="16384" width="9.140625" style="1"/>
  </cols>
  <sheetData>
    <row r="1" spans="1:16" ht="34.5" customHeight="1" x14ac:dyDescent="0.25">
      <c r="A1" s="246" t="s">
        <v>559</v>
      </c>
      <c r="B1" s="247"/>
      <c r="C1" s="247"/>
      <c r="D1" s="247"/>
      <c r="E1" s="247"/>
      <c r="F1" s="247"/>
      <c r="G1" s="247"/>
      <c r="H1" s="247"/>
      <c r="I1" s="247"/>
      <c r="J1" s="247"/>
      <c r="K1" s="247"/>
      <c r="L1" s="248"/>
    </row>
    <row r="2" spans="1:16" ht="82.5" customHeight="1" x14ac:dyDescent="0.25">
      <c r="A2" s="249" t="s">
        <v>560</v>
      </c>
      <c r="B2" s="249"/>
      <c r="C2" s="250" t="s">
        <v>561</v>
      </c>
      <c r="D2" s="251"/>
      <c r="E2" s="249" t="s">
        <v>562</v>
      </c>
      <c r="F2" s="249"/>
      <c r="G2" s="250" t="s">
        <v>563</v>
      </c>
      <c r="H2" s="251"/>
      <c r="I2" s="252" t="s">
        <v>564</v>
      </c>
      <c r="J2" s="253"/>
      <c r="K2" s="252" t="s">
        <v>565</v>
      </c>
      <c r="L2" s="253"/>
      <c r="M2"/>
      <c r="N2"/>
      <c r="O2"/>
      <c r="P2"/>
    </row>
    <row r="3" spans="1:16" ht="15" x14ac:dyDescent="0.25">
      <c r="A3" s="55">
        <v>800</v>
      </c>
      <c r="B3" s="56" t="s">
        <v>566</v>
      </c>
      <c r="C3" s="57">
        <v>360</v>
      </c>
      <c r="D3" s="56" t="s">
        <v>566</v>
      </c>
      <c r="E3" s="58">
        <v>1500</v>
      </c>
      <c r="F3" s="56" t="s">
        <v>566</v>
      </c>
      <c r="G3" s="58">
        <v>1200</v>
      </c>
      <c r="H3" s="56" t="s">
        <v>566</v>
      </c>
      <c r="I3" s="58">
        <v>1000</v>
      </c>
      <c r="J3" s="56" t="s">
        <v>566</v>
      </c>
      <c r="K3" s="55">
        <v>200</v>
      </c>
      <c r="L3" s="56" t="s">
        <v>566</v>
      </c>
      <c r="M3"/>
      <c r="N3"/>
      <c r="O3"/>
      <c r="P3"/>
    </row>
    <row r="5" spans="1:16" ht="42" customHeight="1" x14ac:dyDescent="0.25">
      <c r="A5" s="254" t="s">
        <v>567</v>
      </c>
      <c r="B5" s="255"/>
      <c r="C5" s="255"/>
      <c r="D5" s="255"/>
      <c r="E5" s="255"/>
      <c r="F5" s="256"/>
      <c r="G5" s="257" t="s">
        <v>568</v>
      </c>
      <c r="H5" s="258"/>
      <c r="I5" s="259" t="s">
        <v>569</v>
      </c>
      <c r="J5" s="259"/>
    </row>
    <row r="6" spans="1:16" ht="90.75" customHeight="1" x14ac:dyDescent="0.25">
      <c r="A6" s="260" t="s">
        <v>570</v>
      </c>
      <c r="B6" s="260"/>
      <c r="C6" s="260" t="s">
        <v>571</v>
      </c>
      <c r="D6" s="260"/>
      <c r="E6" s="261" t="s">
        <v>572</v>
      </c>
      <c r="F6" s="262"/>
      <c r="G6" s="263" t="s">
        <v>573</v>
      </c>
      <c r="H6" s="258"/>
      <c r="I6" s="259"/>
      <c r="J6" s="259"/>
    </row>
    <row r="7" spans="1:16" ht="15" x14ac:dyDescent="0.25">
      <c r="A7" s="59">
        <v>1800</v>
      </c>
      <c r="B7" s="60" t="s">
        <v>566</v>
      </c>
      <c r="C7" s="59">
        <v>6000</v>
      </c>
      <c r="D7" s="60" t="s">
        <v>566</v>
      </c>
      <c r="E7" s="59">
        <v>100000</v>
      </c>
      <c r="F7" s="60" t="s">
        <v>566</v>
      </c>
      <c r="G7" s="61">
        <v>300</v>
      </c>
      <c r="H7" s="62" t="s">
        <v>566</v>
      </c>
      <c r="I7" s="63">
        <v>360</v>
      </c>
      <c r="J7" s="64" t="s">
        <v>566</v>
      </c>
    </row>
    <row r="10" spans="1:16" ht="34.5" hidden="1" customHeight="1" x14ac:dyDescent="0.25">
      <c r="A10" s="246" t="s">
        <v>559</v>
      </c>
      <c r="B10" s="247"/>
      <c r="C10" s="247"/>
      <c r="D10" s="247"/>
      <c r="E10" s="247"/>
      <c r="F10" s="247"/>
      <c r="G10" s="247"/>
      <c r="H10" s="247"/>
      <c r="I10" s="247"/>
      <c r="J10" s="247"/>
      <c r="K10" s="247"/>
      <c r="L10" s="248"/>
    </row>
    <row r="11" spans="1:16" ht="82.5" hidden="1" customHeight="1" x14ac:dyDescent="0.25">
      <c r="A11" s="249" t="s">
        <v>560</v>
      </c>
      <c r="B11" s="249"/>
      <c r="C11" s="250" t="s">
        <v>561</v>
      </c>
      <c r="D11" s="251"/>
      <c r="E11" s="249" t="s">
        <v>562</v>
      </c>
      <c r="F11" s="249"/>
      <c r="G11" s="250" t="s">
        <v>563</v>
      </c>
      <c r="H11" s="251"/>
      <c r="I11" s="252" t="s">
        <v>564</v>
      </c>
      <c r="J11" s="253"/>
      <c r="K11" s="252" t="s">
        <v>565</v>
      </c>
      <c r="L11" s="253"/>
    </row>
    <row r="12" spans="1:16" ht="15" hidden="1" x14ac:dyDescent="0.25">
      <c r="A12" s="184">
        <v>1200</v>
      </c>
      <c r="B12" s="183" t="s">
        <v>566</v>
      </c>
      <c r="C12" s="182">
        <v>450</v>
      </c>
      <c r="D12" s="183" t="s">
        <v>566</v>
      </c>
      <c r="E12" s="184">
        <v>2500</v>
      </c>
      <c r="F12" s="183" t="s">
        <v>566</v>
      </c>
      <c r="G12" s="184">
        <v>1800</v>
      </c>
      <c r="H12" s="183" t="s">
        <v>566</v>
      </c>
      <c r="I12" s="184">
        <v>1500</v>
      </c>
      <c r="J12" s="183" t="s">
        <v>566</v>
      </c>
      <c r="K12" s="55">
        <v>300</v>
      </c>
      <c r="L12" s="183" t="s">
        <v>566</v>
      </c>
    </row>
    <row r="13" spans="1:16" hidden="1" x14ac:dyDescent="0.25"/>
    <row r="14" spans="1:16" ht="42" hidden="1" customHeight="1" x14ac:dyDescent="0.25">
      <c r="A14" s="254" t="s">
        <v>567</v>
      </c>
      <c r="B14" s="255"/>
      <c r="C14" s="255"/>
      <c r="D14" s="255"/>
      <c r="E14" s="255"/>
      <c r="F14" s="256"/>
      <c r="G14" s="257" t="s">
        <v>568</v>
      </c>
      <c r="H14" s="258"/>
      <c r="I14" s="259" t="s">
        <v>569</v>
      </c>
      <c r="J14" s="259"/>
    </row>
    <row r="15" spans="1:16" ht="90.75" hidden="1" customHeight="1" x14ac:dyDescent="0.25">
      <c r="A15" s="260" t="s">
        <v>570</v>
      </c>
      <c r="B15" s="260"/>
      <c r="C15" s="260" t="s">
        <v>571</v>
      </c>
      <c r="D15" s="260"/>
      <c r="E15" s="261" t="s">
        <v>572</v>
      </c>
      <c r="F15" s="262"/>
      <c r="G15" s="263" t="s">
        <v>573</v>
      </c>
      <c r="H15" s="258"/>
      <c r="I15" s="259"/>
      <c r="J15" s="259"/>
    </row>
    <row r="16" spans="1:16" ht="15" hidden="1" x14ac:dyDescent="0.25">
      <c r="A16" s="59">
        <v>2700</v>
      </c>
      <c r="B16" s="60" t="s">
        <v>566</v>
      </c>
      <c r="C16" s="59">
        <v>9000</v>
      </c>
      <c r="D16" s="60" t="s">
        <v>566</v>
      </c>
      <c r="E16" s="59">
        <v>100000</v>
      </c>
      <c r="F16" s="60" t="s">
        <v>566</v>
      </c>
      <c r="G16" s="61">
        <v>380</v>
      </c>
      <c r="H16" s="62" t="s">
        <v>566</v>
      </c>
      <c r="I16" s="63">
        <v>450</v>
      </c>
      <c r="J16" s="64" t="s">
        <v>566</v>
      </c>
    </row>
  </sheetData>
  <mergeCells count="28">
    <mergeCell ref="A14:F14"/>
    <mergeCell ref="G14:H14"/>
    <mergeCell ref="I14:J15"/>
    <mergeCell ref="A15:B15"/>
    <mergeCell ref="C15:D15"/>
    <mergeCell ref="E15:F15"/>
    <mergeCell ref="G15:H15"/>
    <mergeCell ref="A10:L10"/>
    <mergeCell ref="A11:B11"/>
    <mergeCell ref="C11:D11"/>
    <mergeCell ref="E11:F11"/>
    <mergeCell ref="G11:H11"/>
    <mergeCell ref="I11:J11"/>
    <mergeCell ref="K11:L11"/>
    <mergeCell ref="A5:F5"/>
    <mergeCell ref="G5:H5"/>
    <mergeCell ref="I5:J6"/>
    <mergeCell ref="A6:B6"/>
    <mergeCell ref="C6:D6"/>
    <mergeCell ref="E6:F6"/>
    <mergeCell ref="G6:H6"/>
    <mergeCell ref="A1:L1"/>
    <mergeCell ref="A2:B2"/>
    <mergeCell ref="C2:D2"/>
    <mergeCell ref="E2:F2"/>
    <mergeCell ref="G2:H2"/>
    <mergeCell ref="I2:J2"/>
    <mergeCell ref="K2:L2"/>
  </mergeCells>
  <printOptions horizontalCentered="1"/>
  <pageMargins left="0.51181102362204722" right="0.51181102362204722" top="0.78740157480314965" bottom="0.78740157480314965" header="0.31496062992125984" footer="0.31496062992125984"/>
  <pageSetup paperSize="9" scale="82" fitToHeight="0" orientation="landscape" horizontalDpi="300" verticalDpi="300" r:id="rId1"/>
  <headerFooter>
    <oddHeader>&amp;C&amp;"Arial,Negrito"&amp;14&amp;UPRODUTIVIDADE DOS SERVIÇOS DE LIMPEZA E CONSERVAÇÃO, POR ÁREAS, CONFORME IN Nº 05, DE 26 DE MAIO DE 2017.</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39"/>
  <sheetViews>
    <sheetView zoomScale="80" zoomScaleNormal="80" workbookViewId="0">
      <pane ySplit="2" topLeftCell="A112" activePane="bottomLeft" state="frozen"/>
      <selection pane="bottomLeft" activeCell="B115" sqref="B115:B116"/>
    </sheetView>
  </sheetViews>
  <sheetFormatPr defaultRowHeight="15" x14ac:dyDescent="0.25"/>
  <cols>
    <col min="1" max="1" width="6.42578125" customWidth="1"/>
    <col min="2" max="2" width="21.42578125" customWidth="1"/>
    <col min="3" max="10" width="12.7109375" customWidth="1"/>
    <col min="11" max="11" width="22.28515625" customWidth="1"/>
    <col min="12" max="12" width="3.140625" customWidth="1"/>
    <col min="13" max="13" width="10.85546875" style="141" hidden="1" customWidth="1"/>
  </cols>
  <sheetData>
    <row r="1" spans="1:13" ht="70.5" customHeight="1" x14ac:dyDescent="0.25">
      <c r="A1" s="284" t="s">
        <v>574</v>
      </c>
      <c r="B1" s="286" t="s">
        <v>575</v>
      </c>
      <c r="C1" s="288" t="s">
        <v>576</v>
      </c>
      <c r="D1" s="288"/>
      <c r="E1" s="288"/>
      <c r="F1" s="288"/>
      <c r="G1" s="289" t="s">
        <v>577</v>
      </c>
      <c r="H1" s="289"/>
      <c r="I1" s="289"/>
      <c r="J1" s="65" t="s">
        <v>568</v>
      </c>
      <c r="K1" s="66" t="s">
        <v>578</v>
      </c>
      <c r="M1" s="142" t="s">
        <v>579</v>
      </c>
    </row>
    <row r="2" spans="1:13" ht="30.75" thickBot="1" x14ac:dyDescent="0.3">
      <c r="A2" s="285"/>
      <c r="B2" s="287"/>
      <c r="C2" s="67" t="s">
        <v>580</v>
      </c>
      <c r="D2" s="67" t="s">
        <v>581</v>
      </c>
      <c r="E2" s="67" t="s">
        <v>582</v>
      </c>
      <c r="F2" s="67" t="s">
        <v>565</v>
      </c>
      <c r="G2" s="68" t="s">
        <v>583</v>
      </c>
      <c r="H2" s="68" t="s">
        <v>584</v>
      </c>
      <c r="I2" s="68" t="s">
        <v>585</v>
      </c>
      <c r="J2" s="69" t="s">
        <v>586</v>
      </c>
      <c r="K2" s="70" t="s">
        <v>587</v>
      </c>
      <c r="M2" s="143" t="s">
        <v>587</v>
      </c>
    </row>
    <row r="3" spans="1:13" ht="30.75" customHeight="1" x14ac:dyDescent="0.25">
      <c r="A3" s="457">
        <v>1</v>
      </c>
      <c r="B3" s="71" t="s">
        <v>588</v>
      </c>
      <c r="C3" s="72">
        <v>289.88</v>
      </c>
      <c r="D3" s="72">
        <v>370.28</v>
      </c>
      <c r="E3" s="72">
        <v>463.77</v>
      </c>
      <c r="F3" s="72">
        <v>37.97</v>
      </c>
      <c r="G3" s="72">
        <v>689.77</v>
      </c>
      <c r="H3" s="72">
        <v>0</v>
      </c>
      <c r="I3" s="72">
        <v>463.77</v>
      </c>
      <c r="J3" s="72">
        <v>124.45</v>
      </c>
      <c r="K3" s="264">
        <f>SUM(C6:J6)</f>
        <v>1</v>
      </c>
      <c r="M3" s="279">
        <v>2</v>
      </c>
    </row>
    <row r="4" spans="1:13" ht="30.75" customHeight="1" x14ac:dyDescent="0.25">
      <c r="A4" s="457"/>
      <c r="B4" s="73" t="s">
        <v>589</v>
      </c>
      <c r="C4" s="74">
        <f>C3/'[1]PRODUTIVIDADE IN 05-2017'!$A$3</f>
        <v>0.36235000000000001</v>
      </c>
      <c r="D4" s="74">
        <f>D3/'[1]PRODUTIVIDADE IN 05-2017'!$E$3</f>
        <v>0.24685333333333331</v>
      </c>
      <c r="E4" s="74">
        <f>E3/'[1]PRODUTIVIDADE IN 05-2017'!$I$3</f>
        <v>0.46376999999999996</v>
      </c>
      <c r="F4" s="74">
        <f>F3/'[1]PRODUTIVIDADE IN 05-2017'!$K$3</f>
        <v>0.18984999999999999</v>
      </c>
      <c r="G4" s="74">
        <f>G3/'[1]PRODUTIVIDADE IN 05-2017'!$A$7</f>
        <v>0.38320555555555552</v>
      </c>
      <c r="H4" s="74">
        <f>H3/'[1]PRODUTIVIDADE IN 05-2017'!$C$7</f>
        <v>0</v>
      </c>
      <c r="I4" s="74">
        <f>I3/'[1]PRODUTIVIDADE IN 05-2017'!$E$7</f>
        <v>4.6376999999999998E-3</v>
      </c>
      <c r="J4" s="267">
        <f>J3/'[1]PRODUTIVIDADE IN 05-2017'!$G$7</f>
        <v>0.41483333333333333</v>
      </c>
      <c r="K4" s="265"/>
      <c r="M4" s="279"/>
    </row>
    <row r="5" spans="1:13" ht="30.75" customHeight="1" x14ac:dyDescent="0.25">
      <c r="A5" s="457"/>
      <c r="B5" s="73" t="s">
        <v>590</v>
      </c>
      <c r="C5" s="269">
        <f>SUM(C4:F4)</f>
        <v>1.2628233333333334</v>
      </c>
      <c r="D5" s="270"/>
      <c r="E5" s="270"/>
      <c r="F5" s="271"/>
      <c r="G5" s="269">
        <f>SUM(G4:I4)</f>
        <v>0.38784325555555554</v>
      </c>
      <c r="H5" s="270"/>
      <c r="I5" s="271"/>
      <c r="J5" s="268"/>
      <c r="K5" s="265"/>
      <c r="M5" s="279"/>
    </row>
    <row r="6" spans="1:13" ht="30.75" customHeight="1" x14ac:dyDescent="0.25">
      <c r="A6" s="458"/>
      <c r="B6" s="73" t="s">
        <v>591</v>
      </c>
      <c r="C6" s="272">
        <v>1</v>
      </c>
      <c r="D6" s="273"/>
      <c r="E6" s="273"/>
      <c r="F6" s="274"/>
      <c r="G6" s="272">
        <v>0</v>
      </c>
      <c r="H6" s="273"/>
      <c r="I6" s="274"/>
      <c r="J6" s="75">
        <v>0</v>
      </c>
      <c r="K6" s="266"/>
      <c r="M6" s="279"/>
    </row>
    <row r="7" spans="1:13" ht="30.75" customHeight="1" x14ac:dyDescent="0.25">
      <c r="A7" s="459">
        <v>2</v>
      </c>
      <c r="B7" s="76" t="s">
        <v>592</v>
      </c>
      <c r="C7" s="77">
        <v>752.85</v>
      </c>
      <c r="D7" s="77">
        <v>0</v>
      </c>
      <c r="E7" s="77">
        <v>503.59</v>
      </c>
      <c r="F7" s="77">
        <v>42.73</v>
      </c>
      <c r="G7" s="77">
        <v>111.61</v>
      </c>
      <c r="H7" s="77">
        <v>189.6</v>
      </c>
      <c r="I7" s="77">
        <v>616.6</v>
      </c>
      <c r="J7" s="77">
        <v>84</v>
      </c>
      <c r="K7" s="295">
        <f>SUM(C10:J10)</f>
        <v>2</v>
      </c>
      <c r="M7" s="277">
        <v>2</v>
      </c>
    </row>
    <row r="8" spans="1:13" ht="30.75" customHeight="1" x14ac:dyDescent="0.25">
      <c r="A8" s="460"/>
      <c r="B8" s="76" t="s">
        <v>589</v>
      </c>
      <c r="C8" s="77">
        <f>C7/'[1]PRODUTIVIDADE IN 05-2017'!$A$3</f>
        <v>0.94106250000000002</v>
      </c>
      <c r="D8" s="77">
        <f>D7/'[1]PRODUTIVIDADE IN 05-2017'!$E$3</f>
        <v>0</v>
      </c>
      <c r="E8" s="77">
        <f>E7/'[1]PRODUTIVIDADE IN 05-2017'!$I$3</f>
        <v>0.50358999999999998</v>
      </c>
      <c r="F8" s="77">
        <f>F7/'[1]PRODUTIVIDADE IN 05-2017'!$K$3</f>
        <v>0.21364999999999998</v>
      </c>
      <c r="G8" s="77">
        <f>G7/'[1]PRODUTIVIDADE IN 05-2017'!$A$7</f>
        <v>6.2005555555555557E-2</v>
      </c>
      <c r="H8" s="77">
        <f>H7/'[1]PRODUTIVIDADE IN 05-2017'!$C$7</f>
        <v>3.1599999999999996E-2</v>
      </c>
      <c r="I8" s="77">
        <f>I7/'[1]PRODUTIVIDADE IN 05-2017'!$E$7</f>
        <v>6.1660000000000005E-3</v>
      </c>
      <c r="J8" s="298">
        <f>J7/'[1]PRODUTIVIDADE IN 05-2017'!$G$7</f>
        <v>0.28000000000000003</v>
      </c>
      <c r="K8" s="296"/>
      <c r="M8" s="277"/>
    </row>
    <row r="9" spans="1:13" ht="30.75" customHeight="1" x14ac:dyDescent="0.25">
      <c r="A9" s="460"/>
      <c r="B9" s="76" t="s">
        <v>590</v>
      </c>
      <c r="C9" s="300">
        <f>SUM(C8:F8)</f>
        <v>1.6583025</v>
      </c>
      <c r="D9" s="301"/>
      <c r="E9" s="301"/>
      <c r="F9" s="302"/>
      <c r="G9" s="300">
        <f>SUM(G8:I8)</f>
        <v>9.9771555555555558E-2</v>
      </c>
      <c r="H9" s="301"/>
      <c r="I9" s="302"/>
      <c r="J9" s="299"/>
      <c r="K9" s="296"/>
      <c r="M9" s="277"/>
    </row>
    <row r="10" spans="1:13" ht="30.75" customHeight="1" x14ac:dyDescent="0.25">
      <c r="A10" s="461"/>
      <c r="B10" s="76" t="s">
        <v>591</v>
      </c>
      <c r="C10" s="303">
        <v>2</v>
      </c>
      <c r="D10" s="304"/>
      <c r="E10" s="304"/>
      <c r="F10" s="305"/>
      <c r="G10" s="303">
        <v>0</v>
      </c>
      <c r="H10" s="304"/>
      <c r="I10" s="305"/>
      <c r="J10" s="78">
        <v>0</v>
      </c>
      <c r="K10" s="297"/>
      <c r="M10" s="277"/>
    </row>
    <row r="11" spans="1:13" ht="30.75" customHeight="1" x14ac:dyDescent="0.25">
      <c r="A11" s="462">
        <v>3</v>
      </c>
      <c r="B11" s="73" t="s">
        <v>593</v>
      </c>
      <c r="C11" s="74">
        <v>1120.1600000000001</v>
      </c>
      <c r="D11" s="74">
        <v>195</v>
      </c>
      <c r="E11" s="74">
        <v>35</v>
      </c>
      <c r="F11" s="74">
        <v>97.84</v>
      </c>
      <c r="G11" s="74">
        <v>265</v>
      </c>
      <c r="H11" s="74">
        <v>1350</v>
      </c>
      <c r="I11" s="74">
        <v>13079</v>
      </c>
      <c r="J11" s="74">
        <v>352</v>
      </c>
      <c r="K11" s="264">
        <f>SUM(C14:J14)</f>
        <v>3</v>
      </c>
      <c r="M11" s="280">
        <v>3</v>
      </c>
    </row>
    <row r="12" spans="1:13" ht="30.75" customHeight="1" x14ac:dyDescent="0.25">
      <c r="A12" s="463"/>
      <c r="B12" s="73" t="s">
        <v>589</v>
      </c>
      <c r="C12" s="74">
        <f>C11/'[1]PRODUTIVIDADE IN 05-2017'!$A$3</f>
        <v>1.4002000000000001</v>
      </c>
      <c r="D12" s="74">
        <f>D11/'[1]PRODUTIVIDADE IN 05-2017'!$E$3</f>
        <v>0.13</v>
      </c>
      <c r="E12" s="74">
        <f>E11/'[1]PRODUTIVIDADE IN 05-2017'!$I$3</f>
        <v>3.5000000000000003E-2</v>
      </c>
      <c r="F12" s="74">
        <f>F11/'[1]PRODUTIVIDADE IN 05-2017'!$K$3</f>
        <v>0.48920000000000002</v>
      </c>
      <c r="G12" s="74">
        <f>G11/'[1]PRODUTIVIDADE IN 05-2017'!$A$7</f>
        <v>0.14722222222222223</v>
      </c>
      <c r="H12" s="74">
        <f>H11/'[1]PRODUTIVIDADE IN 05-2017'!$C$7</f>
        <v>0.22500000000000001</v>
      </c>
      <c r="I12" s="74">
        <f>I11/'[1]PRODUTIVIDADE IN 05-2017'!$E$7</f>
        <v>0.13078999999999999</v>
      </c>
      <c r="J12" s="267">
        <f>J11/'[1]PRODUTIVIDADE IN 05-2017'!$G$7</f>
        <v>1.1733333333333333</v>
      </c>
      <c r="K12" s="265"/>
      <c r="M12" s="280"/>
    </row>
    <row r="13" spans="1:13" ht="30.75" customHeight="1" x14ac:dyDescent="0.25">
      <c r="A13" s="463"/>
      <c r="B13" s="73" t="s">
        <v>590</v>
      </c>
      <c r="C13" s="269">
        <f>SUM(C12:F12)</f>
        <v>2.0544000000000002</v>
      </c>
      <c r="D13" s="270"/>
      <c r="E13" s="270"/>
      <c r="F13" s="271"/>
      <c r="G13" s="269">
        <f>SUM(G12:I12)</f>
        <v>0.50301222222222219</v>
      </c>
      <c r="H13" s="270"/>
      <c r="I13" s="271"/>
      <c r="J13" s="268"/>
      <c r="K13" s="265"/>
      <c r="M13" s="280"/>
    </row>
    <row r="14" spans="1:13" ht="30.75" customHeight="1" x14ac:dyDescent="0.25">
      <c r="A14" s="464"/>
      <c r="B14" s="73" t="s">
        <v>591</v>
      </c>
      <c r="C14" s="272">
        <v>2</v>
      </c>
      <c r="D14" s="273"/>
      <c r="E14" s="273"/>
      <c r="F14" s="274"/>
      <c r="G14" s="272">
        <v>0</v>
      </c>
      <c r="H14" s="273"/>
      <c r="I14" s="274"/>
      <c r="J14" s="75">
        <v>1</v>
      </c>
      <c r="K14" s="266"/>
      <c r="M14" s="280"/>
    </row>
    <row r="15" spans="1:13" ht="30.75" customHeight="1" x14ac:dyDescent="0.25">
      <c r="A15" s="465">
        <v>4</v>
      </c>
      <c r="B15" s="79" t="s">
        <v>594</v>
      </c>
      <c r="C15" s="80">
        <v>1342.52</v>
      </c>
      <c r="D15" s="80">
        <v>295.2</v>
      </c>
      <c r="E15" s="80">
        <v>184.61</v>
      </c>
      <c r="F15" s="80">
        <v>182.73</v>
      </c>
      <c r="G15" s="80">
        <v>558</v>
      </c>
      <c r="H15" s="80">
        <v>3253</v>
      </c>
      <c r="I15" s="80">
        <v>55457</v>
      </c>
      <c r="J15" s="80">
        <v>305.02999999999997</v>
      </c>
      <c r="K15" s="312">
        <f>SUM(C18:J18)</f>
        <v>5</v>
      </c>
      <c r="M15" s="275">
        <v>4</v>
      </c>
    </row>
    <row r="16" spans="1:13" ht="30.75" customHeight="1" x14ac:dyDescent="0.25">
      <c r="A16" s="466"/>
      <c r="B16" s="76" t="s">
        <v>589</v>
      </c>
      <c r="C16" s="77">
        <f>C15/'[1]PRODUTIVIDADE IN 05-2017'!$A$3</f>
        <v>1.67815</v>
      </c>
      <c r="D16" s="77">
        <f>D15/'[1]PRODUTIVIDADE IN 05-2017'!$E$3</f>
        <v>0.1968</v>
      </c>
      <c r="E16" s="77">
        <f>E15/'[1]PRODUTIVIDADE IN 05-2017'!$I$3</f>
        <v>0.18461000000000002</v>
      </c>
      <c r="F16" s="77">
        <f>F15/'[1]PRODUTIVIDADE IN 05-2017'!$K$3</f>
        <v>0.91364999999999996</v>
      </c>
      <c r="G16" s="77">
        <f>G15/'[1]PRODUTIVIDADE IN 05-2017'!$A$7</f>
        <v>0.31</v>
      </c>
      <c r="H16" s="77">
        <f>H15/'[1]PRODUTIVIDADE IN 05-2017'!$C$7</f>
        <v>0.54216666666666669</v>
      </c>
      <c r="I16" s="77">
        <f>I15/'[1]PRODUTIVIDADE IN 05-2017'!$E$7</f>
        <v>0.55457000000000001</v>
      </c>
      <c r="J16" s="298">
        <f>J15/'[1]PRODUTIVIDADE IN 05-2017'!$G$7</f>
        <v>1.0167666666666666</v>
      </c>
      <c r="K16" s="313"/>
      <c r="M16" s="275"/>
    </row>
    <row r="17" spans="1:13" ht="30.75" customHeight="1" x14ac:dyDescent="0.25">
      <c r="A17" s="466"/>
      <c r="B17" s="76" t="s">
        <v>590</v>
      </c>
      <c r="C17" s="300">
        <f>SUM(C16:F16)</f>
        <v>2.9732100000000004</v>
      </c>
      <c r="D17" s="301"/>
      <c r="E17" s="301"/>
      <c r="F17" s="302"/>
      <c r="G17" s="300">
        <f>SUM(G16:I16)</f>
        <v>1.4067366666666667</v>
      </c>
      <c r="H17" s="301"/>
      <c r="I17" s="302"/>
      <c r="J17" s="299"/>
      <c r="K17" s="313"/>
      <c r="M17" s="275"/>
    </row>
    <row r="18" spans="1:13" ht="30.75" customHeight="1" x14ac:dyDescent="0.25">
      <c r="A18" s="467"/>
      <c r="B18" s="76" t="s">
        <v>591</v>
      </c>
      <c r="C18" s="303">
        <v>3</v>
      </c>
      <c r="D18" s="304"/>
      <c r="E18" s="304"/>
      <c r="F18" s="305"/>
      <c r="G18" s="303">
        <v>1</v>
      </c>
      <c r="H18" s="304"/>
      <c r="I18" s="305"/>
      <c r="J18" s="78">
        <v>1</v>
      </c>
      <c r="K18" s="314"/>
      <c r="M18" s="275"/>
    </row>
    <row r="19" spans="1:13" ht="30.75" customHeight="1" x14ac:dyDescent="0.25">
      <c r="A19" s="462">
        <v>5</v>
      </c>
      <c r="B19" s="73" t="s">
        <v>595</v>
      </c>
      <c r="C19" s="74">
        <v>840.02</v>
      </c>
      <c r="D19" s="74">
        <v>133</v>
      </c>
      <c r="E19" s="74">
        <v>365</v>
      </c>
      <c r="F19" s="74">
        <v>92.98</v>
      </c>
      <c r="G19" s="74">
        <v>15</v>
      </c>
      <c r="H19" s="74">
        <v>360</v>
      </c>
      <c r="I19" s="74">
        <v>4397</v>
      </c>
      <c r="J19" s="74">
        <v>101</v>
      </c>
      <c r="K19" s="281">
        <f>SUM(C22:J22)</f>
        <v>2</v>
      </c>
      <c r="M19" s="276">
        <v>2</v>
      </c>
    </row>
    <row r="20" spans="1:13" ht="30.75" customHeight="1" x14ac:dyDescent="0.25">
      <c r="A20" s="463"/>
      <c r="B20" s="73" t="s">
        <v>589</v>
      </c>
      <c r="C20" s="74">
        <f>C19/'[1]PRODUTIVIDADE IN 05-2017'!$A$3</f>
        <v>1.050025</v>
      </c>
      <c r="D20" s="74">
        <f>D19/'[1]PRODUTIVIDADE IN 05-2017'!$E$3</f>
        <v>8.8666666666666671E-2</v>
      </c>
      <c r="E20" s="74">
        <f>E19/'[1]PRODUTIVIDADE IN 05-2017'!$I$3</f>
        <v>0.36499999999999999</v>
      </c>
      <c r="F20" s="74">
        <f>F19/'[1]PRODUTIVIDADE IN 05-2017'!$K$3</f>
        <v>0.46490000000000004</v>
      </c>
      <c r="G20" s="74">
        <f>G19/'[1]PRODUTIVIDADE IN 05-2017'!$A$7</f>
        <v>8.3333333333333332E-3</v>
      </c>
      <c r="H20" s="74">
        <f>H19/'[1]PRODUTIVIDADE IN 05-2017'!$C$7</f>
        <v>0.06</v>
      </c>
      <c r="I20" s="74">
        <f>I19/'[1]PRODUTIVIDADE IN 05-2017'!$E$7</f>
        <v>4.3970000000000002E-2</v>
      </c>
      <c r="J20" s="267">
        <f>J19/'[1]PRODUTIVIDADE IN 05-2017'!$G$7</f>
        <v>0.33666666666666667</v>
      </c>
      <c r="K20" s="282"/>
      <c r="M20" s="276"/>
    </row>
    <row r="21" spans="1:13" ht="30.75" customHeight="1" x14ac:dyDescent="0.25">
      <c r="A21" s="463"/>
      <c r="B21" s="73" t="s">
        <v>590</v>
      </c>
      <c r="C21" s="269">
        <f>SUM(C20:F20)</f>
        <v>1.9685916666666667</v>
      </c>
      <c r="D21" s="270"/>
      <c r="E21" s="270"/>
      <c r="F21" s="271"/>
      <c r="G21" s="269">
        <f>SUM(G20:I20)</f>
        <v>0.11230333333333334</v>
      </c>
      <c r="H21" s="270"/>
      <c r="I21" s="271"/>
      <c r="J21" s="268"/>
      <c r="K21" s="282"/>
      <c r="M21" s="276"/>
    </row>
    <row r="22" spans="1:13" ht="30.75" customHeight="1" x14ac:dyDescent="0.25">
      <c r="A22" s="464"/>
      <c r="B22" s="73" t="s">
        <v>591</v>
      </c>
      <c r="C22" s="272">
        <v>2</v>
      </c>
      <c r="D22" s="273"/>
      <c r="E22" s="273"/>
      <c r="F22" s="274"/>
      <c r="G22" s="272">
        <v>0</v>
      </c>
      <c r="H22" s="273"/>
      <c r="I22" s="274"/>
      <c r="J22" s="75">
        <v>0</v>
      </c>
      <c r="K22" s="283"/>
      <c r="M22" s="276"/>
    </row>
    <row r="23" spans="1:13" ht="30.75" customHeight="1" x14ac:dyDescent="0.25">
      <c r="A23" s="465">
        <v>6</v>
      </c>
      <c r="B23" s="79" t="s">
        <v>596</v>
      </c>
      <c r="C23" s="80">
        <v>1687.02</v>
      </c>
      <c r="D23" s="80">
        <v>72</v>
      </c>
      <c r="E23" s="80">
        <v>228</v>
      </c>
      <c r="F23" s="80">
        <v>98.98</v>
      </c>
      <c r="G23" s="80">
        <v>459</v>
      </c>
      <c r="H23" s="80">
        <v>1390</v>
      </c>
      <c r="I23" s="80">
        <v>3619</v>
      </c>
      <c r="J23" s="80">
        <v>120</v>
      </c>
      <c r="K23" s="312">
        <f>SUM(C26:J26)</f>
        <v>4</v>
      </c>
      <c r="M23" s="278">
        <v>4</v>
      </c>
    </row>
    <row r="24" spans="1:13" ht="30.75" customHeight="1" x14ac:dyDescent="0.25">
      <c r="A24" s="466"/>
      <c r="B24" s="76" t="s">
        <v>589</v>
      </c>
      <c r="C24" s="77">
        <f>C23/'[1]PRODUTIVIDADE IN 05-2017'!$A$3</f>
        <v>2.1087750000000001</v>
      </c>
      <c r="D24" s="77">
        <f>D23/'[1]PRODUTIVIDADE IN 05-2017'!$E$3</f>
        <v>4.8000000000000001E-2</v>
      </c>
      <c r="E24" s="77">
        <f>E23/'[1]PRODUTIVIDADE IN 05-2017'!$I$3</f>
        <v>0.22800000000000001</v>
      </c>
      <c r="F24" s="77">
        <f>F23/'[1]PRODUTIVIDADE IN 05-2017'!$K$3</f>
        <v>0.49490000000000001</v>
      </c>
      <c r="G24" s="77">
        <f>G23/'[1]PRODUTIVIDADE IN 05-2017'!$A$7</f>
        <v>0.255</v>
      </c>
      <c r="H24" s="77">
        <f>H23/'[1]PRODUTIVIDADE IN 05-2017'!$C$7</f>
        <v>0.23166666666666666</v>
      </c>
      <c r="I24" s="77">
        <f>I23/'[1]PRODUTIVIDADE IN 05-2017'!$E$7</f>
        <v>3.619E-2</v>
      </c>
      <c r="J24" s="298">
        <f>J23/'[1]PRODUTIVIDADE IN 05-2017'!$G$7</f>
        <v>0.4</v>
      </c>
      <c r="K24" s="313"/>
      <c r="M24" s="278"/>
    </row>
    <row r="25" spans="1:13" ht="30.75" customHeight="1" x14ac:dyDescent="0.25">
      <c r="A25" s="466"/>
      <c r="B25" s="76" t="s">
        <v>590</v>
      </c>
      <c r="C25" s="300">
        <f>SUM(C24:F24)</f>
        <v>2.8796750000000002</v>
      </c>
      <c r="D25" s="301"/>
      <c r="E25" s="301"/>
      <c r="F25" s="302"/>
      <c r="G25" s="300">
        <f>SUM(G24:I24)</f>
        <v>0.52285666666666675</v>
      </c>
      <c r="H25" s="301"/>
      <c r="I25" s="302"/>
      <c r="J25" s="299"/>
      <c r="K25" s="313"/>
      <c r="M25" s="278"/>
    </row>
    <row r="26" spans="1:13" ht="30.75" customHeight="1" x14ac:dyDescent="0.25">
      <c r="A26" s="467"/>
      <c r="B26" s="76" t="s">
        <v>591</v>
      </c>
      <c r="C26" s="303">
        <v>3</v>
      </c>
      <c r="D26" s="304"/>
      <c r="E26" s="304"/>
      <c r="F26" s="305"/>
      <c r="G26" s="303">
        <v>1</v>
      </c>
      <c r="H26" s="304"/>
      <c r="I26" s="305"/>
      <c r="J26" s="78">
        <v>0</v>
      </c>
      <c r="K26" s="314"/>
      <c r="M26" s="278"/>
    </row>
    <row r="27" spans="1:13" ht="30.75" customHeight="1" x14ac:dyDescent="0.25">
      <c r="A27" s="468">
        <v>7</v>
      </c>
      <c r="B27" s="73" t="s">
        <v>597</v>
      </c>
      <c r="C27" s="74">
        <v>1089.5</v>
      </c>
      <c r="D27" s="74">
        <v>160</v>
      </c>
      <c r="E27" s="74">
        <v>152</v>
      </c>
      <c r="F27" s="74">
        <v>130.5</v>
      </c>
      <c r="G27" s="74">
        <v>152.5</v>
      </c>
      <c r="H27" s="74">
        <v>2500</v>
      </c>
      <c r="I27" s="74">
        <v>1570</v>
      </c>
      <c r="J27" s="74">
        <v>212</v>
      </c>
      <c r="K27" s="264">
        <f>SUM(C30:J30)</f>
        <v>4</v>
      </c>
      <c r="M27" s="279">
        <v>3</v>
      </c>
    </row>
    <row r="28" spans="1:13" ht="30.75" customHeight="1" x14ac:dyDescent="0.25">
      <c r="A28" s="457"/>
      <c r="B28" s="73" t="s">
        <v>589</v>
      </c>
      <c r="C28" s="74">
        <f>C27/'[1]PRODUTIVIDADE IN 05-2017'!$A$3</f>
        <v>1.3618749999999999</v>
      </c>
      <c r="D28" s="74">
        <f>D27/'[1]PRODUTIVIDADE IN 05-2017'!$E$3</f>
        <v>0.10666666666666667</v>
      </c>
      <c r="E28" s="74">
        <f>E27/'[1]PRODUTIVIDADE IN 05-2017'!$I$3</f>
        <v>0.152</v>
      </c>
      <c r="F28" s="74">
        <f>F27/'[1]PRODUTIVIDADE IN 05-2017'!$K$3</f>
        <v>0.65249999999999997</v>
      </c>
      <c r="G28" s="74">
        <f>G27/'[1]PRODUTIVIDADE IN 05-2017'!$A$7</f>
        <v>8.4722222222222227E-2</v>
      </c>
      <c r="H28" s="74">
        <f>H27/'[1]PRODUTIVIDADE IN 05-2017'!$C$7</f>
        <v>0.41666666666666669</v>
      </c>
      <c r="I28" s="74">
        <f>I27/'[1]PRODUTIVIDADE IN 05-2017'!$E$7</f>
        <v>1.5699999999999999E-2</v>
      </c>
      <c r="J28" s="267">
        <f>J27/'[1]PRODUTIVIDADE IN 05-2017'!$G$7</f>
        <v>0.70666666666666667</v>
      </c>
      <c r="K28" s="265"/>
      <c r="M28" s="279"/>
    </row>
    <row r="29" spans="1:13" ht="30.75" customHeight="1" x14ac:dyDescent="0.25">
      <c r="A29" s="457"/>
      <c r="B29" s="73" t="s">
        <v>590</v>
      </c>
      <c r="C29" s="269">
        <f>SUM(C28:F28)</f>
        <v>2.2730416666666664</v>
      </c>
      <c r="D29" s="270"/>
      <c r="E29" s="270"/>
      <c r="F29" s="271"/>
      <c r="G29" s="269">
        <f>SUM(G28:I28)</f>
        <v>0.51708888888888893</v>
      </c>
      <c r="H29" s="270"/>
      <c r="I29" s="271"/>
      <c r="J29" s="268"/>
      <c r="K29" s="265"/>
      <c r="M29" s="279"/>
    </row>
    <row r="30" spans="1:13" ht="30.75" customHeight="1" x14ac:dyDescent="0.25">
      <c r="A30" s="458"/>
      <c r="B30" s="73" t="s">
        <v>591</v>
      </c>
      <c r="C30" s="272">
        <v>2</v>
      </c>
      <c r="D30" s="273"/>
      <c r="E30" s="273"/>
      <c r="F30" s="274"/>
      <c r="G30" s="272">
        <v>1</v>
      </c>
      <c r="H30" s="273"/>
      <c r="I30" s="274"/>
      <c r="J30" s="75">
        <v>1</v>
      </c>
      <c r="K30" s="266"/>
      <c r="M30" s="279"/>
    </row>
    <row r="31" spans="1:13" ht="30.75" customHeight="1" x14ac:dyDescent="0.25">
      <c r="A31" s="465">
        <v>8</v>
      </c>
      <c r="B31" s="79" t="s">
        <v>598</v>
      </c>
      <c r="C31" s="80">
        <v>687.73</v>
      </c>
      <c r="D31" s="80">
        <v>43</v>
      </c>
      <c r="E31" s="80">
        <v>134.47999999999999</v>
      </c>
      <c r="F31" s="80">
        <v>24.46</v>
      </c>
      <c r="G31" s="80">
        <v>86</v>
      </c>
      <c r="H31" s="80">
        <v>1050</v>
      </c>
      <c r="I31" s="80">
        <v>4166.67</v>
      </c>
      <c r="J31" s="80">
        <v>145.19999999999999</v>
      </c>
      <c r="K31" s="295">
        <f>SUM(C34:J34)</f>
        <v>1</v>
      </c>
      <c r="M31" s="278">
        <v>1</v>
      </c>
    </row>
    <row r="32" spans="1:13" ht="30.75" customHeight="1" x14ac:dyDescent="0.25">
      <c r="A32" s="466"/>
      <c r="B32" s="76" t="s">
        <v>589</v>
      </c>
      <c r="C32" s="77">
        <f>C31/'[1]PRODUTIVIDADE IN 05-2017'!$A$3</f>
        <v>0.8596625</v>
      </c>
      <c r="D32" s="77">
        <f>D31/'[1]PRODUTIVIDADE IN 05-2017'!$E$3</f>
        <v>2.8666666666666667E-2</v>
      </c>
      <c r="E32" s="77">
        <f>E31/'[1]PRODUTIVIDADE IN 05-2017'!$I$3</f>
        <v>0.13447999999999999</v>
      </c>
      <c r="F32" s="77">
        <f>F31/'[1]PRODUTIVIDADE IN 05-2017'!$K$3</f>
        <v>0.12230000000000001</v>
      </c>
      <c r="G32" s="77">
        <f>G31/'[1]PRODUTIVIDADE IN 05-2017'!$A$7</f>
        <v>4.777777777777778E-2</v>
      </c>
      <c r="H32" s="77">
        <f>H31/'[1]PRODUTIVIDADE IN 05-2017'!$C$7</f>
        <v>0.17499999999999999</v>
      </c>
      <c r="I32" s="77">
        <f>I31/'[1]PRODUTIVIDADE IN 05-2017'!$E$7</f>
        <v>4.1666700000000001E-2</v>
      </c>
      <c r="J32" s="298">
        <f>J31/'[1]PRODUTIVIDADE IN 05-2017'!$G$7</f>
        <v>0.48399999999999999</v>
      </c>
      <c r="K32" s="296"/>
      <c r="M32" s="278"/>
    </row>
    <row r="33" spans="1:13" ht="30.75" customHeight="1" x14ac:dyDescent="0.25">
      <c r="A33" s="466"/>
      <c r="B33" s="76" t="s">
        <v>590</v>
      </c>
      <c r="C33" s="300">
        <f>SUM(C32:F32)</f>
        <v>1.1451091666666666</v>
      </c>
      <c r="D33" s="301"/>
      <c r="E33" s="301"/>
      <c r="F33" s="302"/>
      <c r="G33" s="300">
        <f>SUM(G32:I32)</f>
        <v>0.2644444777777778</v>
      </c>
      <c r="H33" s="301"/>
      <c r="I33" s="302"/>
      <c r="J33" s="299"/>
      <c r="K33" s="296"/>
      <c r="M33" s="278"/>
    </row>
    <row r="34" spans="1:13" ht="30.75" customHeight="1" x14ac:dyDescent="0.25">
      <c r="A34" s="467"/>
      <c r="B34" s="76" t="s">
        <v>591</v>
      </c>
      <c r="C34" s="303">
        <v>1</v>
      </c>
      <c r="D34" s="304"/>
      <c r="E34" s="304"/>
      <c r="F34" s="305"/>
      <c r="G34" s="303">
        <v>0</v>
      </c>
      <c r="H34" s="304"/>
      <c r="I34" s="305"/>
      <c r="J34" s="78">
        <v>0</v>
      </c>
      <c r="K34" s="297"/>
      <c r="M34" s="278"/>
    </row>
    <row r="35" spans="1:13" ht="30.75" customHeight="1" x14ac:dyDescent="0.25">
      <c r="A35" s="462">
        <v>9</v>
      </c>
      <c r="B35" s="73" t="s">
        <v>599</v>
      </c>
      <c r="C35" s="74">
        <v>683.73</v>
      </c>
      <c r="D35" s="74">
        <v>145.94</v>
      </c>
      <c r="E35" s="74">
        <v>168.92</v>
      </c>
      <c r="F35" s="74">
        <v>54.27</v>
      </c>
      <c r="G35" s="74">
        <v>154</v>
      </c>
      <c r="H35" s="74">
        <v>6000</v>
      </c>
      <c r="I35" s="74">
        <v>36000</v>
      </c>
      <c r="J35" s="74">
        <v>151</v>
      </c>
      <c r="K35" s="281">
        <f>SUM(C38:J38)</f>
        <v>2</v>
      </c>
      <c r="M35" s="280">
        <v>2</v>
      </c>
    </row>
    <row r="36" spans="1:13" ht="30.75" customHeight="1" x14ac:dyDescent="0.25">
      <c r="A36" s="463"/>
      <c r="B36" s="73" t="s">
        <v>589</v>
      </c>
      <c r="C36" s="74">
        <f>C35/'[1]PRODUTIVIDADE IN 05-2017'!$A$3</f>
        <v>0.85466249999999999</v>
      </c>
      <c r="D36" s="74">
        <f>D35/'[1]PRODUTIVIDADE IN 05-2017'!$E$3</f>
        <v>9.7293333333333329E-2</v>
      </c>
      <c r="E36" s="74">
        <f>E35/'[1]PRODUTIVIDADE IN 05-2017'!$I$3</f>
        <v>0.16891999999999999</v>
      </c>
      <c r="F36" s="74">
        <f>F35/'[1]PRODUTIVIDADE IN 05-2017'!$K$3</f>
        <v>0.27135000000000004</v>
      </c>
      <c r="G36" s="74">
        <f>G35/'[1]PRODUTIVIDADE IN 05-2017'!$A$7</f>
        <v>8.5555555555555551E-2</v>
      </c>
      <c r="H36" s="74">
        <f>H35/'[1]PRODUTIVIDADE IN 05-2017'!$C$7</f>
        <v>1</v>
      </c>
      <c r="I36" s="74">
        <f>I35/'[1]PRODUTIVIDADE IN 05-2017'!$E$7</f>
        <v>0.36</v>
      </c>
      <c r="J36" s="267">
        <f>J35/'[1]PRODUTIVIDADE IN 05-2017'!$G$7</f>
        <v>0.5033333333333333</v>
      </c>
      <c r="K36" s="282"/>
      <c r="M36" s="280"/>
    </row>
    <row r="37" spans="1:13" ht="30.75" customHeight="1" x14ac:dyDescent="0.25">
      <c r="A37" s="463"/>
      <c r="B37" s="73" t="s">
        <v>590</v>
      </c>
      <c r="C37" s="269">
        <f>SUM(C36:F36)</f>
        <v>1.3922258333333333</v>
      </c>
      <c r="D37" s="270"/>
      <c r="E37" s="270"/>
      <c r="F37" s="271"/>
      <c r="G37" s="269">
        <f>SUM(G36:I36)</f>
        <v>1.4455555555555555</v>
      </c>
      <c r="H37" s="270"/>
      <c r="I37" s="271"/>
      <c r="J37" s="268"/>
      <c r="K37" s="282"/>
      <c r="M37" s="280"/>
    </row>
    <row r="38" spans="1:13" ht="30.75" customHeight="1" thickBot="1" x14ac:dyDescent="0.3">
      <c r="A38" s="464"/>
      <c r="B38" s="73" t="s">
        <v>591</v>
      </c>
      <c r="C38" s="272">
        <v>1</v>
      </c>
      <c r="D38" s="273"/>
      <c r="E38" s="273"/>
      <c r="F38" s="274"/>
      <c r="G38" s="272">
        <v>1</v>
      </c>
      <c r="H38" s="273"/>
      <c r="I38" s="274"/>
      <c r="J38" s="75">
        <v>0</v>
      </c>
      <c r="K38" s="283"/>
      <c r="M38" s="280"/>
    </row>
    <row r="39" spans="1:13" ht="70.5" customHeight="1" x14ac:dyDescent="0.25">
      <c r="A39" s="469" t="s">
        <v>574</v>
      </c>
      <c r="B39" s="286" t="s">
        <v>575</v>
      </c>
      <c r="C39" s="288" t="s">
        <v>576</v>
      </c>
      <c r="D39" s="288"/>
      <c r="E39" s="288"/>
      <c r="F39" s="288"/>
      <c r="G39" s="289" t="s">
        <v>577</v>
      </c>
      <c r="H39" s="289"/>
      <c r="I39" s="289"/>
      <c r="J39" s="65" t="s">
        <v>568</v>
      </c>
      <c r="K39" s="66" t="s">
        <v>578</v>
      </c>
      <c r="M39" s="188"/>
    </row>
    <row r="40" spans="1:13" ht="30.75" customHeight="1" thickBot="1" x14ac:dyDescent="0.3">
      <c r="A40" s="470"/>
      <c r="B40" s="287"/>
      <c r="C40" s="67" t="s">
        <v>580</v>
      </c>
      <c r="D40" s="67" t="s">
        <v>581</v>
      </c>
      <c r="E40" s="67" t="s">
        <v>582</v>
      </c>
      <c r="F40" s="67" t="s">
        <v>565</v>
      </c>
      <c r="G40" s="68" t="s">
        <v>583</v>
      </c>
      <c r="H40" s="68" t="s">
        <v>584</v>
      </c>
      <c r="I40" s="68" t="s">
        <v>585</v>
      </c>
      <c r="J40" s="69" t="s">
        <v>586</v>
      </c>
      <c r="K40" s="70" t="s">
        <v>587</v>
      </c>
      <c r="M40" s="188"/>
    </row>
    <row r="41" spans="1:13" ht="30.75" customHeight="1" x14ac:dyDescent="0.25">
      <c r="A41" s="459">
        <v>10</v>
      </c>
      <c r="B41" s="79" t="s">
        <v>600</v>
      </c>
      <c r="C41" s="80">
        <v>1156</v>
      </c>
      <c r="D41" s="80">
        <v>0</v>
      </c>
      <c r="E41" s="80">
        <v>545</v>
      </c>
      <c r="F41" s="80">
        <v>103</v>
      </c>
      <c r="G41" s="80">
        <v>425</v>
      </c>
      <c r="H41" s="80">
        <v>6840</v>
      </c>
      <c r="I41" s="80">
        <v>207</v>
      </c>
      <c r="J41" s="80">
        <v>139</v>
      </c>
      <c r="K41" s="312">
        <f>SUM(C44:J44)</f>
        <v>4</v>
      </c>
      <c r="M41" s="275">
        <v>3</v>
      </c>
    </row>
    <row r="42" spans="1:13" ht="30.75" customHeight="1" x14ac:dyDescent="0.25">
      <c r="A42" s="460"/>
      <c r="B42" s="76" t="s">
        <v>589</v>
      </c>
      <c r="C42" s="77">
        <f>C41/'[1]PRODUTIVIDADE IN 05-2017'!$A$3</f>
        <v>1.4450000000000001</v>
      </c>
      <c r="D42" s="77">
        <f>D41/'[1]PRODUTIVIDADE IN 05-2017'!$E$3</f>
        <v>0</v>
      </c>
      <c r="E42" s="77">
        <f>E41/'[1]PRODUTIVIDADE IN 05-2017'!$I$3</f>
        <v>0.54500000000000004</v>
      </c>
      <c r="F42" s="77">
        <f>F41/'[1]PRODUTIVIDADE IN 05-2017'!$K$3</f>
        <v>0.51500000000000001</v>
      </c>
      <c r="G42" s="77">
        <f>G41/'[1]PRODUTIVIDADE IN 05-2017'!$A$7</f>
        <v>0.2361111111111111</v>
      </c>
      <c r="H42" s="77">
        <f>H41/'[1]PRODUTIVIDADE IN 05-2017'!$C$7</f>
        <v>1.1399999999999999</v>
      </c>
      <c r="I42" s="77">
        <f>I41/'[1]PRODUTIVIDADE IN 05-2017'!$E$7</f>
        <v>2.0699999999999998E-3</v>
      </c>
      <c r="J42" s="298">
        <f>J41/'[1]PRODUTIVIDADE IN 05-2017'!$G$7</f>
        <v>0.46333333333333332</v>
      </c>
      <c r="K42" s="313"/>
      <c r="M42" s="275"/>
    </row>
    <row r="43" spans="1:13" ht="30.75" customHeight="1" x14ac:dyDescent="0.25">
      <c r="A43" s="460"/>
      <c r="B43" s="76" t="s">
        <v>590</v>
      </c>
      <c r="C43" s="300">
        <f>SUM(C42:F42)</f>
        <v>2.5050000000000003</v>
      </c>
      <c r="D43" s="301"/>
      <c r="E43" s="301"/>
      <c r="F43" s="302"/>
      <c r="G43" s="300">
        <f>SUM(G42:I42)</f>
        <v>1.3781811111111111</v>
      </c>
      <c r="H43" s="301"/>
      <c r="I43" s="302"/>
      <c r="J43" s="299"/>
      <c r="K43" s="313"/>
      <c r="M43" s="275"/>
    </row>
    <row r="44" spans="1:13" ht="30.75" customHeight="1" x14ac:dyDescent="0.25">
      <c r="A44" s="461"/>
      <c r="B44" s="76" t="s">
        <v>591</v>
      </c>
      <c r="C44" s="303">
        <v>3</v>
      </c>
      <c r="D44" s="304"/>
      <c r="E44" s="304"/>
      <c r="F44" s="305"/>
      <c r="G44" s="303">
        <v>1</v>
      </c>
      <c r="H44" s="304"/>
      <c r="I44" s="305"/>
      <c r="J44" s="78">
        <v>0</v>
      </c>
      <c r="K44" s="314"/>
      <c r="M44" s="275"/>
    </row>
    <row r="45" spans="1:13" ht="30.75" customHeight="1" x14ac:dyDescent="0.25">
      <c r="A45" s="471">
        <v>11</v>
      </c>
      <c r="B45" s="73" t="s">
        <v>601</v>
      </c>
      <c r="C45" s="74">
        <v>424.9</v>
      </c>
      <c r="D45" s="74">
        <v>31.62</v>
      </c>
      <c r="E45" s="74">
        <v>18.3</v>
      </c>
      <c r="F45" s="74">
        <v>52</v>
      </c>
      <c r="G45" s="74">
        <v>158</v>
      </c>
      <c r="H45" s="74">
        <v>133</v>
      </c>
      <c r="I45" s="74">
        <v>2133.7399999999998</v>
      </c>
      <c r="J45" s="74">
        <v>57.45</v>
      </c>
      <c r="K45" s="281">
        <f>SUM(C48:J48)</f>
        <v>1</v>
      </c>
      <c r="M45" s="276">
        <v>1</v>
      </c>
    </row>
    <row r="46" spans="1:13" ht="30.75" customHeight="1" x14ac:dyDescent="0.25">
      <c r="A46" s="472"/>
      <c r="B46" s="73" t="s">
        <v>589</v>
      </c>
      <c r="C46" s="74">
        <f>C45/'[1]PRODUTIVIDADE IN 05-2017'!$A$3</f>
        <v>0.53112499999999996</v>
      </c>
      <c r="D46" s="74">
        <f>D45/'[1]PRODUTIVIDADE IN 05-2017'!$E$3</f>
        <v>2.1080000000000002E-2</v>
      </c>
      <c r="E46" s="74">
        <f>E45/'[1]PRODUTIVIDADE IN 05-2017'!$I$3</f>
        <v>1.83E-2</v>
      </c>
      <c r="F46" s="74">
        <f>F45/'[1]PRODUTIVIDADE IN 05-2017'!$K$3</f>
        <v>0.26</v>
      </c>
      <c r="G46" s="74">
        <f>G45/'[1]PRODUTIVIDADE IN 05-2017'!$A$7</f>
        <v>8.7777777777777774E-2</v>
      </c>
      <c r="H46" s="74">
        <f>H45/'[1]PRODUTIVIDADE IN 05-2017'!$C$7</f>
        <v>2.2166666666666668E-2</v>
      </c>
      <c r="I46" s="74">
        <f>I45/'[1]PRODUTIVIDADE IN 05-2017'!$E$7</f>
        <v>2.1337399999999999E-2</v>
      </c>
      <c r="J46" s="267">
        <f>J45/'[1]PRODUTIVIDADE IN 05-2017'!$G$7</f>
        <v>0.1915</v>
      </c>
      <c r="K46" s="282"/>
      <c r="M46" s="276"/>
    </row>
    <row r="47" spans="1:13" ht="30.75" customHeight="1" x14ac:dyDescent="0.25">
      <c r="A47" s="472"/>
      <c r="B47" s="73" t="s">
        <v>590</v>
      </c>
      <c r="C47" s="269">
        <f>SUM(C46:F46)</f>
        <v>0.83050499999999994</v>
      </c>
      <c r="D47" s="270"/>
      <c r="E47" s="270"/>
      <c r="F47" s="271"/>
      <c r="G47" s="269">
        <f>SUM(G46:I46)</f>
        <v>0.13128184444444443</v>
      </c>
      <c r="H47" s="270"/>
      <c r="I47" s="271"/>
      <c r="J47" s="268"/>
      <c r="K47" s="282"/>
      <c r="M47" s="276"/>
    </row>
    <row r="48" spans="1:13" ht="30.75" customHeight="1" x14ac:dyDescent="0.25">
      <c r="A48" s="473"/>
      <c r="B48" s="73" t="s">
        <v>591</v>
      </c>
      <c r="C48" s="272">
        <v>1</v>
      </c>
      <c r="D48" s="273"/>
      <c r="E48" s="273"/>
      <c r="F48" s="274"/>
      <c r="G48" s="272">
        <v>0</v>
      </c>
      <c r="H48" s="273"/>
      <c r="I48" s="274"/>
      <c r="J48" s="75">
        <v>0</v>
      </c>
      <c r="K48" s="283"/>
      <c r="M48" s="276"/>
    </row>
    <row r="49" spans="1:13" ht="30.75" customHeight="1" x14ac:dyDescent="0.25">
      <c r="A49" s="465">
        <v>12</v>
      </c>
      <c r="B49" s="79" t="s">
        <v>602</v>
      </c>
      <c r="C49" s="80">
        <v>917.34</v>
      </c>
      <c r="D49" s="80">
        <v>53.49</v>
      </c>
      <c r="E49" s="80">
        <v>92.29</v>
      </c>
      <c r="F49" s="80">
        <v>48.95</v>
      </c>
      <c r="G49" s="80">
        <v>304.3</v>
      </c>
      <c r="H49" s="80">
        <v>4590</v>
      </c>
      <c r="I49" s="80">
        <v>8303</v>
      </c>
      <c r="J49" s="80">
        <v>429.4</v>
      </c>
      <c r="K49" s="295">
        <f>SUM(C52:J52)</f>
        <v>4</v>
      </c>
      <c r="M49" s="278">
        <v>4</v>
      </c>
    </row>
    <row r="50" spans="1:13" ht="30.75" customHeight="1" x14ac:dyDescent="0.25">
      <c r="A50" s="466"/>
      <c r="B50" s="76" t="s">
        <v>589</v>
      </c>
      <c r="C50" s="77">
        <f>C49/'[1]PRODUTIVIDADE IN 05-2017'!$A$3</f>
        <v>1.1466750000000001</v>
      </c>
      <c r="D50" s="77">
        <f>D49/'[1]PRODUTIVIDADE IN 05-2017'!$E$3</f>
        <v>3.5660000000000004E-2</v>
      </c>
      <c r="E50" s="77">
        <f>E49/'[1]PRODUTIVIDADE IN 05-2017'!$I$3</f>
        <v>9.2290000000000011E-2</v>
      </c>
      <c r="F50" s="77">
        <f>F49/'[1]PRODUTIVIDADE IN 05-2017'!$K$3</f>
        <v>0.24475000000000002</v>
      </c>
      <c r="G50" s="77">
        <f>G49/'[1]PRODUTIVIDADE IN 05-2017'!$A$7</f>
        <v>0.16905555555555557</v>
      </c>
      <c r="H50" s="77">
        <f>H49/'[1]PRODUTIVIDADE IN 05-2017'!$C$7</f>
        <v>0.76500000000000001</v>
      </c>
      <c r="I50" s="77">
        <f>I49/'[1]PRODUTIVIDADE IN 05-2017'!$E$7</f>
        <v>8.3030000000000007E-2</v>
      </c>
      <c r="J50" s="298">
        <f>J49/'[1]PRODUTIVIDADE IN 05-2017'!$G$7</f>
        <v>1.4313333333333333</v>
      </c>
      <c r="K50" s="296"/>
      <c r="M50" s="278"/>
    </row>
    <row r="51" spans="1:13" ht="30.75" customHeight="1" x14ac:dyDescent="0.25">
      <c r="A51" s="466"/>
      <c r="B51" s="76" t="s">
        <v>590</v>
      </c>
      <c r="C51" s="300">
        <f>SUM(C50:F50)</f>
        <v>1.5193750000000001</v>
      </c>
      <c r="D51" s="301"/>
      <c r="E51" s="301"/>
      <c r="F51" s="302"/>
      <c r="G51" s="300">
        <f>SUM(G50:I50)</f>
        <v>1.0170855555555556</v>
      </c>
      <c r="H51" s="301"/>
      <c r="I51" s="302"/>
      <c r="J51" s="299"/>
      <c r="K51" s="296"/>
      <c r="M51" s="278"/>
    </row>
    <row r="52" spans="1:13" ht="30.75" customHeight="1" x14ac:dyDescent="0.25">
      <c r="A52" s="467"/>
      <c r="B52" s="76" t="s">
        <v>591</v>
      </c>
      <c r="C52" s="303">
        <v>2</v>
      </c>
      <c r="D52" s="304"/>
      <c r="E52" s="304"/>
      <c r="F52" s="305"/>
      <c r="G52" s="303">
        <v>1</v>
      </c>
      <c r="H52" s="304"/>
      <c r="I52" s="305"/>
      <c r="J52" s="78">
        <v>1</v>
      </c>
      <c r="K52" s="297"/>
      <c r="M52" s="278"/>
    </row>
    <row r="53" spans="1:13" ht="30.75" customHeight="1" x14ac:dyDescent="0.25">
      <c r="A53" s="462">
        <v>13</v>
      </c>
      <c r="B53" s="73" t="s">
        <v>603</v>
      </c>
      <c r="C53" s="74">
        <v>1192.6500000000001</v>
      </c>
      <c r="D53" s="74">
        <v>59.41</v>
      </c>
      <c r="E53" s="74">
        <v>821.93</v>
      </c>
      <c r="F53" s="74">
        <v>181.93</v>
      </c>
      <c r="G53" s="74">
        <v>269.99</v>
      </c>
      <c r="H53" s="74">
        <v>1169.1400000000001</v>
      </c>
      <c r="I53" s="74">
        <v>694.89</v>
      </c>
      <c r="J53" s="74">
        <v>150</v>
      </c>
      <c r="K53" s="264">
        <f>SUM(C56:J56)</f>
        <v>3</v>
      </c>
      <c r="M53" s="279">
        <v>4</v>
      </c>
    </row>
    <row r="54" spans="1:13" ht="30.75" customHeight="1" x14ac:dyDescent="0.25">
      <c r="A54" s="463"/>
      <c r="B54" s="73" t="s">
        <v>589</v>
      </c>
      <c r="C54" s="74">
        <f>C53/'[1]PRODUTIVIDADE IN 05-2017'!$A$3</f>
        <v>1.4908125000000001</v>
      </c>
      <c r="D54" s="74">
        <f>D53/'[1]PRODUTIVIDADE IN 05-2017'!$E$3</f>
        <v>3.9606666666666665E-2</v>
      </c>
      <c r="E54" s="74">
        <f>E53/'[1]PRODUTIVIDADE IN 05-2017'!$I$3</f>
        <v>0.82192999999999994</v>
      </c>
      <c r="F54" s="74">
        <f>F53/'[1]PRODUTIVIDADE IN 05-2017'!$K$3</f>
        <v>0.90965000000000007</v>
      </c>
      <c r="G54" s="74">
        <f>G53/'[1]PRODUTIVIDADE IN 05-2017'!$A$7</f>
        <v>0.14999444444444446</v>
      </c>
      <c r="H54" s="74">
        <f>H53/'[1]PRODUTIVIDADE IN 05-2017'!$C$7</f>
        <v>0.19485666666666668</v>
      </c>
      <c r="I54" s="74">
        <f>I53/'[1]PRODUTIVIDADE IN 05-2017'!$E$7</f>
        <v>6.9489E-3</v>
      </c>
      <c r="J54" s="267">
        <f>J53/'[1]PRODUTIVIDADE IN 05-2017'!$G$7</f>
        <v>0.5</v>
      </c>
      <c r="K54" s="265"/>
      <c r="M54" s="279"/>
    </row>
    <row r="55" spans="1:13" ht="30.75" customHeight="1" x14ac:dyDescent="0.25">
      <c r="A55" s="463"/>
      <c r="B55" s="73" t="s">
        <v>590</v>
      </c>
      <c r="C55" s="269">
        <f>SUM(C54:F54)</f>
        <v>3.2619991666666666</v>
      </c>
      <c r="D55" s="270"/>
      <c r="E55" s="270"/>
      <c r="F55" s="271"/>
      <c r="G55" s="269">
        <f>SUM(G54:I54)</f>
        <v>0.35180001111111109</v>
      </c>
      <c r="H55" s="270"/>
      <c r="I55" s="271"/>
      <c r="J55" s="268"/>
      <c r="K55" s="265"/>
      <c r="M55" s="279"/>
    </row>
    <row r="56" spans="1:13" ht="30.75" customHeight="1" x14ac:dyDescent="0.25">
      <c r="A56" s="464"/>
      <c r="B56" s="73" t="s">
        <v>591</v>
      </c>
      <c r="C56" s="272">
        <v>3</v>
      </c>
      <c r="D56" s="273"/>
      <c r="E56" s="273"/>
      <c r="F56" s="274"/>
      <c r="G56" s="272">
        <v>0</v>
      </c>
      <c r="H56" s="273"/>
      <c r="I56" s="274"/>
      <c r="J56" s="75">
        <v>0</v>
      </c>
      <c r="K56" s="266"/>
      <c r="M56" s="279"/>
    </row>
    <row r="57" spans="1:13" ht="30.75" customHeight="1" x14ac:dyDescent="0.25">
      <c r="A57" s="465">
        <v>14</v>
      </c>
      <c r="B57" s="79" t="s">
        <v>604</v>
      </c>
      <c r="C57" s="80">
        <v>1182.04</v>
      </c>
      <c r="D57" s="80">
        <v>0</v>
      </c>
      <c r="E57" s="80">
        <v>506</v>
      </c>
      <c r="F57" s="80">
        <v>96.96</v>
      </c>
      <c r="G57" s="80">
        <v>670</v>
      </c>
      <c r="H57" s="80">
        <v>5570</v>
      </c>
      <c r="I57" s="80">
        <v>9960</v>
      </c>
      <c r="J57" s="80">
        <v>132.16999999999999</v>
      </c>
      <c r="K57" s="312">
        <f>SUM(C60:J60)</f>
        <v>3</v>
      </c>
      <c r="M57" s="275">
        <v>4</v>
      </c>
    </row>
    <row r="58" spans="1:13" ht="30.75" customHeight="1" x14ac:dyDescent="0.25">
      <c r="A58" s="466"/>
      <c r="B58" s="76" t="s">
        <v>589</v>
      </c>
      <c r="C58" s="77">
        <f>C57/'[1]PRODUTIVIDADE IN 05-2017'!$A$3</f>
        <v>1.4775499999999999</v>
      </c>
      <c r="D58" s="77">
        <f>D57/'[1]PRODUTIVIDADE IN 05-2017'!$E$3</f>
        <v>0</v>
      </c>
      <c r="E58" s="77">
        <f>E57/'[1]PRODUTIVIDADE IN 05-2017'!$I$3</f>
        <v>0.50600000000000001</v>
      </c>
      <c r="F58" s="77">
        <f>F57/'[1]PRODUTIVIDADE IN 05-2017'!$K$3</f>
        <v>0.48479999999999995</v>
      </c>
      <c r="G58" s="77">
        <f>G57/'[1]PRODUTIVIDADE IN 05-2017'!$A$7</f>
        <v>0.37222222222222223</v>
      </c>
      <c r="H58" s="77">
        <f>H57/'[1]PRODUTIVIDADE IN 05-2017'!$C$7</f>
        <v>0.92833333333333334</v>
      </c>
      <c r="I58" s="77">
        <f>I57/'[1]PRODUTIVIDADE IN 05-2017'!$E$7</f>
        <v>9.9599999999999994E-2</v>
      </c>
      <c r="J58" s="298">
        <f>J57/'[1]PRODUTIVIDADE IN 05-2017'!$G$7</f>
        <v>0.44056666666666661</v>
      </c>
      <c r="K58" s="313"/>
      <c r="M58" s="275"/>
    </row>
    <row r="59" spans="1:13" ht="30.75" customHeight="1" x14ac:dyDescent="0.25">
      <c r="A59" s="466"/>
      <c r="B59" s="76" t="s">
        <v>590</v>
      </c>
      <c r="C59" s="300">
        <f>SUM(C58:F58)</f>
        <v>2.46835</v>
      </c>
      <c r="D59" s="301"/>
      <c r="E59" s="301"/>
      <c r="F59" s="302"/>
      <c r="G59" s="300">
        <f>SUM(G58:I58)</f>
        <v>1.4001555555555554</v>
      </c>
      <c r="H59" s="301"/>
      <c r="I59" s="302"/>
      <c r="J59" s="299"/>
      <c r="K59" s="313"/>
      <c r="M59" s="275"/>
    </row>
    <row r="60" spans="1:13" ht="30.75" customHeight="1" x14ac:dyDescent="0.25">
      <c r="A60" s="467"/>
      <c r="B60" s="76" t="s">
        <v>591</v>
      </c>
      <c r="C60" s="303">
        <v>2</v>
      </c>
      <c r="D60" s="304"/>
      <c r="E60" s="304"/>
      <c r="F60" s="305"/>
      <c r="G60" s="303">
        <v>1</v>
      </c>
      <c r="H60" s="304"/>
      <c r="I60" s="305"/>
      <c r="J60" s="78">
        <v>0</v>
      </c>
      <c r="K60" s="314"/>
      <c r="M60" s="275"/>
    </row>
    <row r="61" spans="1:13" ht="30.75" customHeight="1" x14ac:dyDescent="0.25">
      <c r="A61" s="462">
        <v>15</v>
      </c>
      <c r="B61" s="73" t="s">
        <v>605</v>
      </c>
      <c r="C61" s="74">
        <v>1529</v>
      </c>
      <c r="D61" s="74">
        <v>52</v>
      </c>
      <c r="E61" s="74">
        <v>119.26</v>
      </c>
      <c r="F61" s="74">
        <v>73.17</v>
      </c>
      <c r="G61" s="168">
        <v>0</v>
      </c>
      <c r="H61" s="74">
        <v>6612</v>
      </c>
      <c r="I61" s="74">
        <v>9086</v>
      </c>
      <c r="J61" s="74">
        <v>89.41</v>
      </c>
      <c r="K61" s="264">
        <f>SUM(C64:J64)</f>
        <v>3</v>
      </c>
      <c r="M61" s="279">
        <v>4</v>
      </c>
    </row>
    <row r="62" spans="1:13" ht="30.75" customHeight="1" x14ac:dyDescent="0.25">
      <c r="A62" s="463"/>
      <c r="B62" s="73" t="s">
        <v>589</v>
      </c>
      <c r="C62" s="74">
        <f>C61/'[1]PRODUTIVIDADE IN 05-2017'!$A$3</f>
        <v>1.9112499999999999</v>
      </c>
      <c r="D62" s="74">
        <f>D61/'[1]PRODUTIVIDADE IN 05-2017'!$E$3</f>
        <v>3.4666666666666665E-2</v>
      </c>
      <c r="E62" s="74">
        <f>E61/'[1]PRODUTIVIDADE IN 05-2017'!$I$3</f>
        <v>0.11926</v>
      </c>
      <c r="F62" s="74">
        <f>F61/'[1]PRODUTIVIDADE IN 05-2017'!$K$3</f>
        <v>0.36585000000000001</v>
      </c>
      <c r="G62" s="74">
        <f>G61/'[1]PRODUTIVIDADE IN 05-2017'!$A$7</f>
        <v>0</v>
      </c>
      <c r="H62" s="74">
        <f>H61/'[1]PRODUTIVIDADE IN 05-2017'!$C$7</f>
        <v>1.1020000000000001</v>
      </c>
      <c r="I62" s="74">
        <f>I61/'[1]PRODUTIVIDADE IN 05-2017'!$E$7</f>
        <v>9.0859999999999996E-2</v>
      </c>
      <c r="J62" s="267">
        <f>J61/'[1]PRODUTIVIDADE IN 05-2017'!$G$7</f>
        <v>0.29803333333333332</v>
      </c>
      <c r="K62" s="265"/>
      <c r="M62" s="279"/>
    </row>
    <row r="63" spans="1:13" ht="30.75" customHeight="1" x14ac:dyDescent="0.25">
      <c r="A63" s="463"/>
      <c r="B63" s="73" t="s">
        <v>590</v>
      </c>
      <c r="C63" s="269">
        <f>SUM(C62:F62)</f>
        <v>2.4310266666666664</v>
      </c>
      <c r="D63" s="270"/>
      <c r="E63" s="270"/>
      <c r="F63" s="271"/>
      <c r="G63" s="269">
        <f>SUM(G62:I62)</f>
        <v>1.19286</v>
      </c>
      <c r="H63" s="270"/>
      <c r="I63" s="271"/>
      <c r="J63" s="268"/>
      <c r="K63" s="265"/>
      <c r="M63" s="279"/>
    </row>
    <row r="64" spans="1:13" ht="30.75" customHeight="1" x14ac:dyDescent="0.25">
      <c r="A64" s="464"/>
      <c r="B64" s="73" t="s">
        <v>591</v>
      </c>
      <c r="C64" s="272">
        <v>2</v>
      </c>
      <c r="D64" s="273"/>
      <c r="E64" s="273"/>
      <c r="F64" s="274"/>
      <c r="G64" s="272">
        <v>1</v>
      </c>
      <c r="H64" s="273"/>
      <c r="I64" s="274"/>
      <c r="J64" s="75">
        <v>0</v>
      </c>
      <c r="K64" s="266"/>
      <c r="M64" s="279"/>
    </row>
    <row r="65" spans="1:13" ht="30.75" customHeight="1" x14ac:dyDescent="0.25">
      <c r="A65" s="465">
        <v>16</v>
      </c>
      <c r="B65" s="79" t="s">
        <v>746</v>
      </c>
      <c r="C65" s="80">
        <v>366.42</v>
      </c>
      <c r="D65" s="80">
        <v>170.46</v>
      </c>
      <c r="E65" s="80">
        <v>215</v>
      </c>
      <c r="F65" s="80">
        <v>54.27</v>
      </c>
      <c r="G65" s="80">
        <v>154</v>
      </c>
      <c r="H65" s="80">
        <v>328</v>
      </c>
      <c r="I65" s="80">
        <v>1541</v>
      </c>
      <c r="J65" s="80">
        <v>237</v>
      </c>
      <c r="K65" s="295">
        <f>SUM(C68:J68)</f>
        <v>2</v>
      </c>
      <c r="M65" s="275">
        <v>2</v>
      </c>
    </row>
    <row r="66" spans="1:13" ht="30.75" customHeight="1" x14ac:dyDescent="0.25">
      <c r="A66" s="466"/>
      <c r="B66" s="76" t="s">
        <v>589</v>
      </c>
      <c r="C66" s="77">
        <f>C65/'[1]PRODUTIVIDADE IN 05-2017'!$A$3</f>
        <v>0.45802500000000002</v>
      </c>
      <c r="D66" s="77">
        <f>D65/'[1]PRODUTIVIDADE IN 05-2017'!$E$3</f>
        <v>0.11364</v>
      </c>
      <c r="E66" s="77">
        <f>E65/'[1]PRODUTIVIDADE IN 05-2017'!$I$3</f>
        <v>0.215</v>
      </c>
      <c r="F66" s="77">
        <f>F65/'[1]PRODUTIVIDADE IN 05-2017'!$K$3</f>
        <v>0.27135000000000004</v>
      </c>
      <c r="G66" s="77">
        <f>G65/'[1]PRODUTIVIDADE IN 05-2017'!$A$7</f>
        <v>8.5555555555555551E-2</v>
      </c>
      <c r="H66" s="77">
        <f>H65/'[1]PRODUTIVIDADE IN 05-2017'!$C$7</f>
        <v>5.4666666666666669E-2</v>
      </c>
      <c r="I66" s="77">
        <f>I65/'[1]PRODUTIVIDADE IN 05-2017'!$E$7</f>
        <v>1.541E-2</v>
      </c>
      <c r="J66" s="298">
        <f>J65/'[1]PRODUTIVIDADE IN 05-2017'!$G$7</f>
        <v>0.79</v>
      </c>
      <c r="K66" s="296"/>
      <c r="M66" s="275"/>
    </row>
    <row r="67" spans="1:13" ht="30.75" customHeight="1" x14ac:dyDescent="0.25">
      <c r="A67" s="466"/>
      <c r="B67" s="76" t="s">
        <v>590</v>
      </c>
      <c r="C67" s="300">
        <f>SUM(C66:F66)</f>
        <v>1.0580149999999999</v>
      </c>
      <c r="D67" s="301"/>
      <c r="E67" s="301"/>
      <c r="F67" s="302"/>
      <c r="G67" s="300">
        <f>SUM(G66:I66)</f>
        <v>0.15563222222222223</v>
      </c>
      <c r="H67" s="301"/>
      <c r="I67" s="302"/>
      <c r="J67" s="299"/>
      <c r="K67" s="296"/>
      <c r="M67" s="275"/>
    </row>
    <row r="68" spans="1:13" ht="30.75" customHeight="1" x14ac:dyDescent="0.25">
      <c r="A68" s="467"/>
      <c r="B68" s="76" t="s">
        <v>591</v>
      </c>
      <c r="C68" s="303">
        <v>1</v>
      </c>
      <c r="D68" s="304"/>
      <c r="E68" s="304"/>
      <c r="F68" s="305"/>
      <c r="G68" s="303">
        <v>0</v>
      </c>
      <c r="H68" s="304"/>
      <c r="I68" s="305"/>
      <c r="J68" s="78">
        <v>1</v>
      </c>
      <c r="K68" s="297"/>
      <c r="M68" s="275"/>
    </row>
    <row r="69" spans="1:13" ht="30.75" customHeight="1" x14ac:dyDescent="0.25">
      <c r="A69" s="462">
        <v>17</v>
      </c>
      <c r="B69" s="73" t="s">
        <v>607</v>
      </c>
      <c r="C69" s="74">
        <v>564.47</v>
      </c>
      <c r="D69" s="74">
        <v>57</v>
      </c>
      <c r="E69" s="74">
        <v>110</v>
      </c>
      <c r="F69" s="74">
        <v>67.53</v>
      </c>
      <c r="G69" s="74">
        <v>403</v>
      </c>
      <c r="H69" s="74">
        <v>663</v>
      </c>
      <c r="I69" s="74">
        <v>180</v>
      </c>
      <c r="J69" s="74">
        <v>70.349999999999994</v>
      </c>
      <c r="K69" s="281">
        <f>SUM(C72:J72)</f>
        <v>1</v>
      </c>
      <c r="M69" s="276">
        <v>1</v>
      </c>
    </row>
    <row r="70" spans="1:13" ht="30.75" customHeight="1" x14ac:dyDescent="0.25">
      <c r="A70" s="463"/>
      <c r="B70" s="73" t="s">
        <v>589</v>
      </c>
      <c r="C70" s="74">
        <f>C69/'[1]PRODUTIVIDADE IN 05-2017'!$A$3</f>
        <v>0.70558750000000003</v>
      </c>
      <c r="D70" s="74">
        <f>D69/'[1]PRODUTIVIDADE IN 05-2017'!$E$3</f>
        <v>3.7999999999999999E-2</v>
      </c>
      <c r="E70" s="74">
        <f>E69/'[1]PRODUTIVIDADE IN 05-2017'!$I$3</f>
        <v>0.11</v>
      </c>
      <c r="F70" s="74">
        <f>F69/'[1]PRODUTIVIDADE IN 05-2017'!$K$3</f>
        <v>0.33765000000000001</v>
      </c>
      <c r="G70" s="74">
        <f>G69/'[1]PRODUTIVIDADE IN 05-2017'!$A$7</f>
        <v>0.22388888888888889</v>
      </c>
      <c r="H70" s="74">
        <f>H69/'[1]PRODUTIVIDADE IN 05-2017'!$C$7</f>
        <v>0.1105</v>
      </c>
      <c r="I70" s="74">
        <f>I69/'[1]PRODUTIVIDADE IN 05-2017'!$E$7</f>
        <v>1.8E-3</v>
      </c>
      <c r="J70" s="267">
        <f>J69/'[1]PRODUTIVIDADE IN 05-2017'!$G$7</f>
        <v>0.23449999999999999</v>
      </c>
      <c r="K70" s="282"/>
      <c r="M70" s="276"/>
    </row>
    <row r="71" spans="1:13" ht="30.75" customHeight="1" x14ac:dyDescent="0.25">
      <c r="A71" s="463"/>
      <c r="B71" s="73" t="s">
        <v>590</v>
      </c>
      <c r="C71" s="269">
        <f>SUM(C70:F70)</f>
        <v>1.1912375000000002</v>
      </c>
      <c r="D71" s="270"/>
      <c r="E71" s="270"/>
      <c r="F71" s="271"/>
      <c r="G71" s="269">
        <f>SUM(G70:I70)</f>
        <v>0.33618888888888893</v>
      </c>
      <c r="H71" s="270"/>
      <c r="I71" s="271"/>
      <c r="J71" s="268"/>
      <c r="K71" s="282"/>
      <c r="M71" s="276"/>
    </row>
    <row r="72" spans="1:13" ht="30.75" customHeight="1" x14ac:dyDescent="0.25">
      <c r="A72" s="464"/>
      <c r="B72" s="73" t="s">
        <v>591</v>
      </c>
      <c r="C72" s="272">
        <v>1</v>
      </c>
      <c r="D72" s="273"/>
      <c r="E72" s="273"/>
      <c r="F72" s="274"/>
      <c r="G72" s="272">
        <v>0</v>
      </c>
      <c r="H72" s="273"/>
      <c r="I72" s="274"/>
      <c r="J72" s="75">
        <v>0</v>
      </c>
      <c r="K72" s="283"/>
      <c r="M72" s="276"/>
    </row>
    <row r="73" spans="1:13" ht="30.75" customHeight="1" x14ac:dyDescent="0.25">
      <c r="A73" s="465">
        <v>18</v>
      </c>
      <c r="B73" s="79" t="s">
        <v>608</v>
      </c>
      <c r="C73" s="80">
        <v>1393</v>
      </c>
      <c r="D73" s="80">
        <v>51.08</v>
      </c>
      <c r="E73" s="80">
        <v>364</v>
      </c>
      <c r="F73" s="80">
        <v>70</v>
      </c>
      <c r="G73" s="80">
        <v>737</v>
      </c>
      <c r="H73" s="80">
        <v>5110.5</v>
      </c>
      <c r="I73" s="80">
        <v>2252.1</v>
      </c>
      <c r="J73" s="80">
        <v>372.8</v>
      </c>
      <c r="K73" s="312">
        <f>SUM(C76:J76)</f>
        <v>4</v>
      </c>
      <c r="M73" s="275">
        <v>5</v>
      </c>
    </row>
    <row r="74" spans="1:13" ht="30.75" customHeight="1" x14ac:dyDescent="0.25">
      <c r="A74" s="466"/>
      <c r="B74" s="76" t="s">
        <v>589</v>
      </c>
      <c r="C74" s="77">
        <f>C73/'[1]PRODUTIVIDADE IN 05-2017'!$A$3</f>
        <v>1.74125</v>
      </c>
      <c r="D74" s="77">
        <f>D73/'[1]PRODUTIVIDADE IN 05-2017'!$E$3</f>
        <v>3.4053333333333331E-2</v>
      </c>
      <c r="E74" s="77">
        <f>E73/'[1]PRODUTIVIDADE IN 05-2017'!$I$3</f>
        <v>0.36399999999999999</v>
      </c>
      <c r="F74" s="77">
        <f>F73/'[1]PRODUTIVIDADE IN 05-2017'!$K$3</f>
        <v>0.35</v>
      </c>
      <c r="G74" s="77">
        <f>G73/'[1]PRODUTIVIDADE IN 05-2017'!$A$7</f>
        <v>0.40944444444444444</v>
      </c>
      <c r="H74" s="77">
        <f>H73/'[1]PRODUTIVIDADE IN 05-2017'!$C$7</f>
        <v>0.85175000000000001</v>
      </c>
      <c r="I74" s="77">
        <f>I73/'[1]PRODUTIVIDADE IN 05-2017'!$E$7</f>
        <v>2.2520999999999999E-2</v>
      </c>
      <c r="J74" s="298">
        <f>J73/'[1]PRODUTIVIDADE IN 05-2017'!$G$7</f>
        <v>1.2426666666666668</v>
      </c>
      <c r="K74" s="313"/>
      <c r="M74" s="275"/>
    </row>
    <row r="75" spans="1:13" ht="30.75" customHeight="1" x14ac:dyDescent="0.25">
      <c r="A75" s="466"/>
      <c r="B75" s="76" t="s">
        <v>590</v>
      </c>
      <c r="C75" s="300">
        <f>SUM(C74:F74)</f>
        <v>2.4893033333333334</v>
      </c>
      <c r="D75" s="301"/>
      <c r="E75" s="301"/>
      <c r="F75" s="302"/>
      <c r="G75" s="300">
        <f>SUM(G74:I74)</f>
        <v>1.2837154444444445</v>
      </c>
      <c r="H75" s="301"/>
      <c r="I75" s="302"/>
      <c r="J75" s="299"/>
      <c r="K75" s="313"/>
      <c r="M75" s="275"/>
    </row>
    <row r="76" spans="1:13" ht="30.75" customHeight="1" thickBot="1" x14ac:dyDescent="0.3">
      <c r="A76" s="467"/>
      <c r="B76" s="76" t="s">
        <v>591</v>
      </c>
      <c r="C76" s="303">
        <v>2</v>
      </c>
      <c r="D76" s="304"/>
      <c r="E76" s="304"/>
      <c r="F76" s="305"/>
      <c r="G76" s="303">
        <v>1</v>
      </c>
      <c r="H76" s="304"/>
      <c r="I76" s="305"/>
      <c r="J76" s="78">
        <v>1</v>
      </c>
      <c r="K76" s="314"/>
      <c r="M76" s="275"/>
    </row>
    <row r="77" spans="1:13" ht="70.5" customHeight="1" x14ac:dyDescent="0.25">
      <c r="A77" s="469" t="s">
        <v>574</v>
      </c>
      <c r="B77" s="286" t="s">
        <v>575</v>
      </c>
      <c r="C77" s="288" t="s">
        <v>576</v>
      </c>
      <c r="D77" s="288"/>
      <c r="E77" s="288"/>
      <c r="F77" s="288"/>
      <c r="G77" s="289" t="s">
        <v>577</v>
      </c>
      <c r="H77" s="289"/>
      <c r="I77" s="289"/>
      <c r="J77" s="65" t="s">
        <v>568</v>
      </c>
      <c r="K77" s="66" t="s">
        <v>578</v>
      </c>
      <c r="M77" s="189"/>
    </row>
    <row r="78" spans="1:13" ht="30.75" customHeight="1" thickBot="1" x14ac:dyDescent="0.3">
      <c r="A78" s="470"/>
      <c r="B78" s="287"/>
      <c r="C78" s="67" t="s">
        <v>580</v>
      </c>
      <c r="D78" s="67" t="s">
        <v>581</v>
      </c>
      <c r="E78" s="67" t="s">
        <v>582</v>
      </c>
      <c r="F78" s="67" t="s">
        <v>565</v>
      </c>
      <c r="G78" s="68" t="s">
        <v>583</v>
      </c>
      <c r="H78" s="68" t="s">
        <v>584</v>
      </c>
      <c r="I78" s="68" t="s">
        <v>585</v>
      </c>
      <c r="J78" s="69" t="s">
        <v>586</v>
      </c>
      <c r="K78" s="70" t="s">
        <v>587</v>
      </c>
      <c r="M78" s="189"/>
    </row>
    <row r="79" spans="1:13" ht="30.75" customHeight="1" x14ac:dyDescent="0.25">
      <c r="A79" s="462">
        <v>19</v>
      </c>
      <c r="B79" s="73" t="s">
        <v>609</v>
      </c>
      <c r="C79" s="74">
        <v>1423.78</v>
      </c>
      <c r="D79" s="74">
        <v>50</v>
      </c>
      <c r="E79" s="74">
        <v>277</v>
      </c>
      <c r="F79" s="74">
        <v>82.82</v>
      </c>
      <c r="G79" s="74">
        <v>305.25</v>
      </c>
      <c r="H79" s="74">
        <v>2560</v>
      </c>
      <c r="I79" s="74">
        <v>4504.2</v>
      </c>
      <c r="J79" s="74">
        <v>265.48</v>
      </c>
      <c r="K79" s="281">
        <f>SUM(C82:J82)</f>
        <v>4</v>
      </c>
      <c r="M79" s="276">
        <v>4</v>
      </c>
    </row>
    <row r="80" spans="1:13" ht="30.75" customHeight="1" x14ac:dyDescent="0.25">
      <c r="A80" s="463"/>
      <c r="B80" s="73" t="s">
        <v>589</v>
      </c>
      <c r="C80" s="74">
        <f>C79/'[1]PRODUTIVIDADE IN 05-2017'!$A$3</f>
        <v>1.779725</v>
      </c>
      <c r="D80" s="74">
        <f>D79/'[1]PRODUTIVIDADE IN 05-2017'!$E$3</f>
        <v>3.3333333333333333E-2</v>
      </c>
      <c r="E80" s="74">
        <f>E79/'[1]PRODUTIVIDADE IN 05-2017'!$I$3</f>
        <v>0.27700000000000002</v>
      </c>
      <c r="F80" s="74">
        <f>F79/'[1]PRODUTIVIDADE IN 05-2017'!$K$3</f>
        <v>0.41409999999999997</v>
      </c>
      <c r="G80" s="74">
        <f>G79/'[1]PRODUTIVIDADE IN 05-2017'!$A$7</f>
        <v>0.16958333333333334</v>
      </c>
      <c r="H80" s="74">
        <f>H79/'[1]PRODUTIVIDADE IN 05-2017'!$C$7</f>
        <v>0.42666666666666669</v>
      </c>
      <c r="I80" s="74">
        <f>I79/'[1]PRODUTIVIDADE IN 05-2017'!$E$7</f>
        <v>4.5041999999999999E-2</v>
      </c>
      <c r="J80" s="267">
        <f>J79/'[1]PRODUTIVIDADE IN 05-2017'!$G$7</f>
        <v>0.88493333333333335</v>
      </c>
      <c r="K80" s="282"/>
      <c r="M80" s="276"/>
    </row>
    <row r="81" spans="1:13" ht="30.75" customHeight="1" x14ac:dyDescent="0.25">
      <c r="A81" s="463"/>
      <c r="B81" s="73" t="s">
        <v>590</v>
      </c>
      <c r="C81" s="269">
        <f>SUM(C80:F80)</f>
        <v>2.5041583333333333</v>
      </c>
      <c r="D81" s="270"/>
      <c r="E81" s="270"/>
      <c r="F81" s="271"/>
      <c r="G81" s="269">
        <f>SUM(G80:I80)</f>
        <v>0.64129200000000008</v>
      </c>
      <c r="H81" s="270"/>
      <c r="I81" s="271"/>
      <c r="J81" s="268"/>
      <c r="K81" s="282"/>
      <c r="M81" s="276"/>
    </row>
    <row r="82" spans="1:13" ht="30.75" customHeight="1" x14ac:dyDescent="0.25">
      <c r="A82" s="464"/>
      <c r="B82" s="73" t="s">
        <v>591</v>
      </c>
      <c r="C82" s="272">
        <v>2</v>
      </c>
      <c r="D82" s="273"/>
      <c r="E82" s="273"/>
      <c r="F82" s="274"/>
      <c r="G82" s="272">
        <v>1</v>
      </c>
      <c r="H82" s="273"/>
      <c r="I82" s="274"/>
      <c r="J82" s="75">
        <v>1</v>
      </c>
      <c r="K82" s="283"/>
      <c r="M82" s="276"/>
    </row>
    <row r="83" spans="1:13" ht="30.75" customHeight="1" x14ac:dyDescent="0.25">
      <c r="A83" s="465">
        <v>20</v>
      </c>
      <c r="B83" s="79" t="s">
        <v>610</v>
      </c>
      <c r="C83" s="170">
        <v>959.25</v>
      </c>
      <c r="D83" s="80">
        <v>39.909999999999997</v>
      </c>
      <c r="E83" s="80">
        <v>220.08</v>
      </c>
      <c r="F83" s="80">
        <v>107.76</v>
      </c>
      <c r="G83" s="80">
        <v>2367</v>
      </c>
      <c r="H83" s="80">
        <v>720</v>
      </c>
      <c r="I83" s="80">
        <v>2176</v>
      </c>
      <c r="J83" s="80">
        <v>42.3</v>
      </c>
      <c r="K83" s="312">
        <f>SUM(C86:J86)</f>
        <v>3</v>
      </c>
      <c r="M83" s="277">
        <v>3</v>
      </c>
    </row>
    <row r="84" spans="1:13" ht="30.75" customHeight="1" x14ac:dyDescent="0.25">
      <c r="A84" s="466"/>
      <c r="B84" s="76" t="s">
        <v>589</v>
      </c>
      <c r="C84" s="77">
        <f>C83/'[1]PRODUTIVIDADE IN 05-2017'!$A$3</f>
        <v>1.1990624999999999</v>
      </c>
      <c r="D84" s="77">
        <f>D83/'[1]PRODUTIVIDADE IN 05-2017'!$E$3</f>
        <v>2.6606666666666664E-2</v>
      </c>
      <c r="E84" s="77">
        <f>E83/'[1]PRODUTIVIDADE IN 05-2017'!$I$3</f>
        <v>0.22008000000000003</v>
      </c>
      <c r="F84" s="77">
        <f>F83/'[1]PRODUTIVIDADE IN 05-2017'!$K$3</f>
        <v>0.53880000000000006</v>
      </c>
      <c r="G84" s="77">
        <f>G83/'[1]PRODUTIVIDADE IN 05-2017'!$A$7</f>
        <v>1.3149999999999999</v>
      </c>
      <c r="H84" s="77">
        <f>H83/'[1]PRODUTIVIDADE IN 05-2017'!$C$7</f>
        <v>0.12</v>
      </c>
      <c r="I84" s="77">
        <f>I83/'[1]PRODUTIVIDADE IN 05-2017'!$E$7</f>
        <v>2.1760000000000002E-2</v>
      </c>
      <c r="J84" s="298">
        <f>J83/'[1]PRODUTIVIDADE IN 05-2017'!$G$7</f>
        <v>0.14099999999999999</v>
      </c>
      <c r="K84" s="313"/>
      <c r="M84" s="277"/>
    </row>
    <row r="85" spans="1:13" ht="30.75" customHeight="1" x14ac:dyDescent="0.25">
      <c r="A85" s="466"/>
      <c r="B85" s="76" t="s">
        <v>590</v>
      </c>
      <c r="C85" s="300">
        <f>SUM(C84:F84)</f>
        <v>1.9845491666666666</v>
      </c>
      <c r="D85" s="301"/>
      <c r="E85" s="301"/>
      <c r="F85" s="302"/>
      <c r="G85" s="300">
        <f>SUM(G84:I84)</f>
        <v>1.4567600000000001</v>
      </c>
      <c r="H85" s="301"/>
      <c r="I85" s="302"/>
      <c r="J85" s="299"/>
      <c r="K85" s="313"/>
      <c r="M85" s="277"/>
    </row>
    <row r="86" spans="1:13" ht="30.75" customHeight="1" x14ac:dyDescent="0.25">
      <c r="A86" s="467"/>
      <c r="B86" s="76" t="s">
        <v>591</v>
      </c>
      <c r="C86" s="303">
        <v>2</v>
      </c>
      <c r="D86" s="304"/>
      <c r="E86" s="304"/>
      <c r="F86" s="305"/>
      <c r="G86" s="303">
        <v>1</v>
      </c>
      <c r="H86" s="304"/>
      <c r="I86" s="305"/>
      <c r="J86" s="78">
        <v>0</v>
      </c>
      <c r="K86" s="314"/>
      <c r="M86" s="277"/>
    </row>
    <row r="87" spans="1:13" ht="30.75" customHeight="1" x14ac:dyDescent="0.25">
      <c r="A87" s="462">
        <v>21</v>
      </c>
      <c r="B87" s="73" t="s">
        <v>611</v>
      </c>
      <c r="C87" s="74">
        <v>480</v>
      </c>
      <c r="D87" s="74">
        <v>35</v>
      </c>
      <c r="E87" s="74">
        <v>254</v>
      </c>
      <c r="F87" s="74">
        <v>67</v>
      </c>
      <c r="G87" s="74">
        <v>1320</v>
      </c>
      <c r="H87" s="74">
        <v>1680</v>
      </c>
      <c r="I87" s="74">
        <v>367</v>
      </c>
      <c r="J87" s="74">
        <v>150</v>
      </c>
      <c r="K87" s="281">
        <f>SUM(C90:J90)</f>
        <v>2</v>
      </c>
      <c r="M87" s="276">
        <v>2</v>
      </c>
    </row>
    <row r="88" spans="1:13" ht="30.75" customHeight="1" x14ac:dyDescent="0.25">
      <c r="A88" s="463"/>
      <c r="B88" s="73" t="s">
        <v>589</v>
      </c>
      <c r="C88" s="74">
        <f>C87/'[1]PRODUTIVIDADE IN 05-2017'!$A$3</f>
        <v>0.6</v>
      </c>
      <c r="D88" s="74">
        <f>D87/'[1]PRODUTIVIDADE IN 05-2017'!$E$3</f>
        <v>2.3333333333333334E-2</v>
      </c>
      <c r="E88" s="74">
        <f>E87/'[1]PRODUTIVIDADE IN 05-2017'!$I$3</f>
        <v>0.254</v>
      </c>
      <c r="F88" s="74">
        <f>F87/'[1]PRODUTIVIDADE IN 05-2017'!$K$3</f>
        <v>0.33500000000000002</v>
      </c>
      <c r="G88" s="74">
        <f>G87/'[1]PRODUTIVIDADE IN 05-2017'!$A$7</f>
        <v>0.73333333333333328</v>
      </c>
      <c r="H88" s="74">
        <f>H87/'[1]PRODUTIVIDADE IN 05-2017'!$C$7</f>
        <v>0.28000000000000003</v>
      </c>
      <c r="I88" s="74">
        <f>I87/'[1]PRODUTIVIDADE IN 05-2017'!$E$7</f>
        <v>3.6700000000000001E-3</v>
      </c>
      <c r="J88" s="267">
        <f>J87/'[1]PRODUTIVIDADE IN 05-2017'!$G$7</f>
        <v>0.5</v>
      </c>
      <c r="K88" s="282"/>
      <c r="M88" s="276"/>
    </row>
    <row r="89" spans="1:13" ht="30.75" customHeight="1" x14ac:dyDescent="0.25">
      <c r="A89" s="463"/>
      <c r="B89" s="73" t="s">
        <v>590</v>
      </c>
      <c r="C89" s="269">
        <f>SUM(C88:F88)</f>
        <v>1.2123333333333333</v>
      </c>
      <c r="D89" s="270"/>
      <c r="E89" s="270"/>
      <c r="F89" s="271"/>
      <c r="G89" s="269">
        <f>SUM(G88:I88)</f>
        <v>1.0170033333333333</v>
      </c>
      <c r="H89" s="270"/>
      <c r="I89" s="271"/>
      <c r="J89" s="268"/>
      <c r="K89" s="282"/>
      <c r="M89" s="276"/>
    </row>
    <row r="90" spans="1:13" ht="30.75" customHeight="1" x14ac:dyDescent="0.25">
      <c r="A90" s="464"/>
      <c r="B90" s="73" t="s">
        <v>591</v>
      </c>
      <c r="C90" s="272">
        <v>1</v>
      </c>
      <c r="D90" s="273"/>
      <c r="E90" s="273"/>
      <c r="F90" s="274"/>
      <c r="G90" s="272">
        <v>1</v>
      </c>
      <c r="H90" s="273"/>
      <c r="I90" s="274"/>
      <c r="J90" s="75">
        <v>0</v>
      </c>
      <c r="K90" s="283"/>
      <c r="M90" s="276"/>
    </row>
    <row r="91" spans="1:13" ht="30.75" customHeight="1" x14ac:dyDescent="0.25">
      <c r="A91" s="465">
        <v>22</v>
      </c>
      <c r="B91" s="79" t="s">
        <v>612</v>
      </c>
      <c r="C91" s="80">
        <v>683.73</v>
      </c>
      <c r="D91" s="80">
        <v>22.35</v>
      </c>
      <c r="E91" s="80">
        <v>152</v>
      </c>
      <c r="F91" s="80">
        <v>54.27</v>
      </c>
      <c r="G91" s="80">
        <v>201.4</v>
      </c>
      <c r="H91" s="80">
        <v>1883.89</v>
      </c>
      <c r="I91" s="80">
        <v>7017.81</v>
      </c>
      <c r="J91" s="80">
        <v>176.23</v>
      </c>
      <c r="K91" s="295">
        <f>SUM(C94:J94)</f>
        <v>2</v>
      </c>
      <c r="M91" s="278">
        <v>2</v>
      </c>
    </row>
    <row r="92" spans="1:13" ht="30.75" customHeight="1" x14ac:dyDescent="0.25">
      <c r="A92" s="466"/>
      <c r="B92" s="76" t="s">
        <v>589</v>
      </c>
      <c r="C92" s="77">
        <f>C91/'[1]PRODUTIVIDADE IN 05-2017'!$A$3</f>
        <v>0.85466249999999999</v>
      </c>
      <c r="D92" s="77">
        <f>D91/'[1]PRODUTIVIDADE IN 05-2017'!$E$3</f>
        <v>1.4900000000000002E-2</v>
      </c>
      <c r="E92" s="77">
        <f>E91/'[1]PRODUTIVIDADE IN 05-2017'!$I$3</f>
        <v>0.152</v>
      </c>
      <c r="F92" s="77">
        <f>F91/'[1]PRODUTIVIDADE IN 05-2017'!$K$3</f>
        <v>0.27135000000000004</v>
      </c>
      <c r="G92" s="77">
        <f>G91/'[1]PRODUTIVIDADE IN 05-2017'!$A$7</f>
        <v>0.1118888888888889</v>
      </c>
      <c r="H92" s="77">
        <f>H91/'[1]PRODUTIVIDADE IN 05-2017'!$C$7</f>
        <v>0.31398166666666666</v>
      </c>
      <c r="I92" s="77">
        <f>I91/'[1]PRODUTIVIDADE IN 05-2017'!$E$7</f>
        <v>7.0178100000000007E-2</v>
      </c>
      <c r="J92" s="298">
        <f>J91/'[1]PRODUTIVIDADE IN 05-2017'!$G$7</f>
        <v>0.58743333333333325</v>
      </c>
      <c r="K92" s="296"/>
      <c r="M92" s="278"/>
    </row>
    <row r="93" spans="1:13" ht="30.75" customHeight="1" x14ac:dyDescent="0.25">
      <c r="A93" s="466"/>
      <c r="B93" s="76" t="s">
        <v>590</v>
      </c>
      <c r="C93" s="300">
        <f>SUM(C92:F92)</f>
        <v>1.2929124999999999</v>
      </c>
      <c r="D93" s="301"/>
      <c r="E93" s="301"/>
      <c r="F93" s="302"/>
      <c r="G93" s="300">
        <f>SUM(G92:I92)</f>
        <v>0.49604865555555555</v>
      </c>
      <c r="H93" s="301"/>
      <c r="I93" s="302"/>
      <c r="J93" s="299"/>
      <c r="K93" s="296"/>
      <c r="M93" s="278"/>
    </row>
    <row r="94" spans="1:13" ht="30.75" customHeight="1" x14ac:dyDescent="0.25">
      <c r="A94" s="467"/>
      <c r="B94" s="76" t="s">
        <v>591</v>
      </c>
      <c r="C94" s="303">
        <v>1</v>
      </c>
      <c r="D94" s="304"/>
      <c r="E94" s="304"/>
      <c r="F94" s="305"/>
      <c r="G94" s="303">
        <v>0</v>
      </c>
      <c r="H94" s="304"/>
      <c r="I94" s="305"/>
      <c r="J94" s="78">
        <v>1</v>
      </c>
      <c r="K94" s="297"/>
      <c r="M94" s="278"/>
    </row>
    <row r="95" spans="1:13" ht="30.75" customHeight="1" x14ac:dyDescent="0.25">
      <c r="A95" s="462">
        <v>23</v>
      </c>
      <c r="B95" s="73" t="s">
        <v>613</v>
      </c>
      <c r="C95" s="74">
        <v>532</v>
      </c>
      <c r="D95" s="74">
        <v>0</v>
      </c>
      <c r="E95" s="74">
        <v>0</v>
      </c>
      <c r="F95" s="74">
        <v>8.5</v>
      </c>
      <c r="G95" s="74">
        <v>210</v>
      </c>
      <c r="H95" s="74">
        <v>0</v>
      </c>
      <c r="I95" s="74">
        <v>0</v>
      </c>
      <c r="J95" s="74">
        <v>35</v>
      </c>
      <c r="K95" s="281">
        <f>SUM(C98:J98)</f>
        <v>1</v>
      </c>
      <c r="M95" s="276">
        <v>1</v>
      </c>
    </row>
    <row r="96" spans="1:13" ht="30.75" customHeight="1" x14ac:dyDescent="0.25">
      <c r="A96" s="463"/>
      <c r="B96" s="73" t="s">
        <v>589</v>
      </c>
      <c r="C96" s="74">
        <f>C95/'[1]PRODUTIVIDADE IN 05-2017'!$A$3</f>
        <v>0.66500000000000004</v>
      </c>
      <c r="D96" s="74">
        <f>D95/'[1]PRODUTIVIDADE IN 05-2017'!$E$3</f>
        <v>0</v>
      </c>
      <c r="E96" s="74">
        <f>E95/'[1]PRODUTIVIDADE IN 05-2017'!$I$3</f>
        <v>0</v>
      </c>
      <c r="F96" s="74">
        <f>F95/'[1]PRODUTIVIDADE IN 05-2017'!$K$3</f>
        <v>4.2500000000000003E-2</v>
      </c>
      <c r="G96" s="74">
        <f>G95/'[1]PRODUTIVIDADE IN 05-2017'!$A$7</f>
        <v>0.11666666666666667</v>
      </c>
      <c r="H96" s="74">
        <f>H95/'[1]PRODUTIVIDADE IN 05-2017'!$C$7</f>
        <v>0</v>
      </c>
      <c r="I96" s="74">
        <f>I95/'[1]PRODUTIVIDADE IN 05-2017'!$E$7</f>
        <v>0</v>
      </c>
      <c r="J96" s="267">
        <f>J95/'[1]PRODUTIVIDADE IN 05-2017'!$G$7</f>
        <v>0.11666666666666667</v>
      </c>
      <c r="K96" s="282"/>
      <c r="M96" s="276"/>
    </row>
    <row r="97" spans="1:13" ht="30.75" customHeight="1" x14ac:dyDescent="0.25">
      <c r="A97" s="463"/>
      <c r="B97" s="73" t="s">
        <v>590</v>
      </c>
      <c r="C97" s="269">
        <f>SUM(C96:F96)</f>
        <v>0.70750000000000002</v>
      </c>
      <c r="D97" s="270"/>
      <c r="E97" s="270"/>
      <c r="F97" s="271"/>
      <c r="G97" s="269">
        <f>SUM(G96:I96)</f>
        <v>0.11666666666666667</v>
      </c>
      <c r="H97" s="270"/>
      <c r="I97" s="271"/>
      <c r="J97" s="268"/>
      <c r="K97" s="282"/>
      <c r="M97" s="276"/>
    </row>
    <row r="98" spans="1:13" ht="30.75" customHeight="1" x14ac:dyDescent="0.25">
      <c r="A98" s="464"/>
      <c r="B98" s="73" t="s">
        <v>591</v>
      </c>
      <c r="C98" s="272">
        <v>1</v>
      </c>
      <c r="D98" s="273"/>
      <c r="E98" s="273"/>
      <c r="F98" s="274"/>
      <c r="G98" s="272">
        <v>0</v>
      </c>
      <c r="H98" s="273"/>
      <c r="I98" s="274"/>
      <c r="J98" s="75">
        <v>0</v>
      </c>
      <c r="K98" s="283"/>
      <c r="M98" s="276"/>
    </row>
    <row r="99" spans="1:13" ht="30.75" customHeight="1" x14ac:dyDescent="0.25">
      <c r="A99" s="465">
        <v>24</v>
      </c>
      <c r="B99" s="79" t="s">
        <v>614</v>
      </c>
      <c r="C99" s="80">
        <v>763.85</v>
      </c>
      <c r="D99" s="80">
        <v>214.44</v>
      </c>
      <c r="E99" s="80">
        <v>320</v>
      </c>
      <c r="F99" s="80">
        <v>107</v>
      </c>
      <c r="G99" s="80">
        <v>250</v>
      </c>
      <c r="H99" s="80">
        <v>3892</v>
      </c>
      <c r="I99" s="80">
        <v>19784.080000000002</v>
      </c>
      <c r="J99" s="80">
        <v>0</v>
      </c>
      <c r="K99" s="295">
        <f>SUM(C102:J102)</f>
        <v>3</v>
      </c>
      <c r="M99" s="275">
        <v>2</v>
      </c>
    </row>
    <row r="100" spans="1:13" ht="30.75" customHeight="1" x14ac:dyDescent="0.25">
      <c r="A100" s="466"/>
      <c r="B100" s="76" t="s">
        <v>589</v>
      </c>
      <c r="C100" s="77">
        <f>C99/'[1]PRODUTIVIDADE IN 05-2017'!$A$3</f>
        <v>0.95481250000000006</v>
      </c>
      <c r="D100" s="77">
        <f>D99/'[1]PRODUTIVIDADE IN 05-2017'!$E$3</f>
        <v>0.14296</v>
      </c>
      <c r="E100" s="77">
        <f>E99/'[1]PRODUTIVIDADE IN 05-2017'!$I$3</f>
        <v>0.32</v>
      </c>
      <c r="F100" s="77">
        <f>F99/'[1]PRODUTIVIDADE IN 05-2017'!$K$3</f>
        <v>0.53500000000000003</v>
      </c>
      <c r="G100" s="77">
        <f>G99/'[1]PRODUTIVIDADE IN 05-2017'!$A$7</f>
        <v>0.1388888888888889</v>
      </c>
      <c r="H100" s="77">
        <f>H99/'[1]PRODUTIVIDADE IN 05-2017'!$C$7</f>
        <v>0.64866666666666661</v>
      </c>
      <c r="I100" s="77">
        <f>I99/'[1]PRODUTIVIDADE IN 05-2017'!$E$7</f>
        <v>0.19784080000000001</v>
      </c>
      <c r="J100" s="298">
        <f>J99/'[1]PRODUTIVIDADE IN 05-2017'!$G$7</f>
        <v>0</v>
      </c>
      <c r="K100" s="296"/>
      <c r="M100" s="275"/>
    </row>
    <row r="101" spans="1:13" ht="30.75" customHeight="1" x14ac:dyDescent="0.25">
      <c r="A101" s="466"/>
      <c r="B101" s="76" t="s">
        <v>590</v>
      </c>
      <c r="C101" s="300">
        <f>SUM(C100:F100)</f>
        <v>1.9527725</v>
      </c>
      <c r="D101" s="301"/>
      <c r="E101" s="301"/>
      <c r="F101" s="302"/>
      <c r="G101" s="300">
        <f>SUM(G100:I100)</f>
        <v>0.9853963555555556</v>
      </c>
      <c r="H101" s="301"/>
      <c r="I101" s="302"/>
      <c r="J101" s="299"/>
      <c r="K101" s="296"/>
      <c r="M101" s="275"/>
    </row>
    <row r="102" spans="1:13" ht="30.75" customHeight="1" x14ac:dyDescent="0.25">
      <c r="A102" s="467"/>
      <c r="B102" s="76" t="s">
        <v>591</v>
      </c>
      <c r="C102" s="303">
        <v>2</v>
      </c>
      <c r="D102" s="304"/>
      <c r="E102" s="304"/>
      <c r="F102" s="305"/>
      <c r="G102" s="303">
        <v>1</v>
      </c>
      <c r="H102" s="304"/>
      <c r="I102" s="305"/>
      <c r="J102" s="78">
        <v>0</v>
      </c>
      <c r="K102" s="297"/>
      <c r="M102" s="275"/>
    </row>
    <row r="103" spans="1:13" ht="30.75" customHeight="1" x14ac:dyDescent="0.25">
      <c r="A103" s="468">
        <v>25</v>
      </c>
      <c r="B103" s="73" t="s">
        <v>615</v>
      </c>
      <c r="C103" s="74">
        <v>683.73</v>
      </c>
      <c r="D103" s="74">
        <v>0</v>
      </c>
      <c r="E103" s="74">
        <v>198.25</v>
      </c>
      <c r="F103" s="74">
        <v>60.71</v>
      </c>
      <c r="G103" s="168">
        <v>298.3</v>
      </c>
      <c r="H103" s="168">
        <v>3010</v>
      </c>
      <c r="I103" s="168">
        <v>0</v>
      </c>
      <c r="J103" s="74">
        <v>180</v>
      </c>
      <c r="K103" s="264">
        <f>SUM(C106:J106)</f>
        <v>3</v>
      </c>
      <c r="M103" s="279">
        <v>2</v>
      </c>
    </row>
    <row r="104" spans="1:13" ht="30.75" customHeight="1" x14ac:dyDescent="0.25">
      <c r="A104" s="457"/>
      <c r="B104" s="73" t="s">
        <v>589</v>
      </c>
      <c r="C104" s="74">
        <f>C103/'[1]PRODUTIVIDADE IN 05-2017'!$A$3</f>
        <v>0.85466249999999999</v>
      </c>
      <c r="D104" s="74">
        <f>D103/'[1]PRODUTIVIDADE IN 05-2017'!$E$3</f>
        <v>0</v>
      </c>
      <c r="E104" s="74">
        <f>E103/'[1]PRODUTIVIDADE IN 05-2017'!$I$3</f>
        <v>0.19825000000000001</v>
      </c>
      <c r="F104" s="74">
        <f>F103/'[1]PRODUTIVIDADE IN 05-2017'!$K$3</f>
        <v>0.30354999999999999</v>
      </c>
      <c r="G104" s="74">
        <f>G103/'[1]PRODUTIVIDADE IN 05-2017'!$A$7</f>
        <v>0.16572222222222222</v>
      </c>
      <c r="H104" s="74">
        <f>H103/'[1]PRODUTIVIDADE IN 05-2017'!$C$7</f>
        <v>0.50166666666666671</v>
      </c>
      <c r="I104" s="74">
        <f>I103/'[1]PRODUTIVIDADE IN 05-2017'!$E$7</f>
        <v>0</v>
      </c>
      <c r="J104" s="267">
        <f>J103/'[1]PRODUTIVIDADE IN 05-2017'!$G$7</f>
        <v>0.6</v>
      </c>
      <c r="K104" s="265"/>
      <c r="M104" s="279"/>
    </row>
    <row r="105" spans="1:13" ht="30.75" customHeight="1" x14ac:dyDescent="0.25">
      <c r="A105" s="457"/>
      <c r="B105" s="73" t="s">
        <v>590</v>
      </c>
      <c r="C105" s="269">
        <f>SUM(C104:F104)</f>
        <v>1.3564624999999999</v>
      </c>
      <c r="D105" s="270"/>
      <c r="E105" s="270"/>
      <c r="F105" s="271"/>
      <c r="G105" s="269">
        <f>SUM(G104:I104)</f>
        <v>0.66738888888888892</v>
      </c>
      <c r="H105" s="270"/>
      <c r="I105" s="271"/>
      <c r="J105" s="268"/>
      <c r="K105" s="265"/>
      <c r="M105" s="279"/>
    </row>
    <row r="106" spans="1:13" ht="30.75" customHeight="1" x14ac:dyDescent="0.25">
      <c r="A106" s="458"/>
      <c r="B106" s="73" t="s">
        <v>591</v>
      </c>
      <c r="C106" s="272">
        <v>1</v>
      </c>
      <c r="D106" s="273"/>
      <c r="E106" s="273"/>
      <c r="F106" s="274"/>
      <c r="G106" s="272">
        <v>1</v>
      </c>
      <c r="H106" s="273"/>
      <c r="I106" s="274"/>
      <c r="J106" s="75">
        <v>1</v>
      </c>
      <c r="K106" s="266"/>
      <c r="M106" s="279"/>
    </row>
    <row r="107" spans="1:13" ht="30.75" customHeight="1" x14ac:dyDescent="0.25">
      <c r="A107" s="465">
        <v>26</v>
      </c>
      <c r="B107" s="79" t="s">
        <v>745</v>
      </c>
      <c r="C107" s="170">
        <v>1296</v>
      </c>
      <c r="D107" s="80">
        <v>58</v>
      </c>
      <c r="E107" s="80">
        <v>389</v>
      </c>
      <c r="F107" s="80">
        <v>150</v>
      </c>
      <c r="G107" s="80">
        <v>157.63999999999999</v>
      </c>
      <c r="H107" s="80">
        <v>3705</v>
      </c>
      <c r="I107" s="80">
        <v>27684</v>
      </c>
      <c r="J107" s="80">
        <v>265.23</v>
      </c>
      <c r="K107" s="312">
        <f>SUM(C110:J110)</f>
        <v>5</v>
      </c>
      <c r="M107" s="275">
        <v>4</v>
      </c>
    </row>
    <row r="108" spans="1:13" ht="30.75" customHeight="1" x14ac:dyDescent="0.25">
      <c r="A108" s="466"/>
      <c r="B108" s="76" t="s">
        <v>589</v>
      </c>
      <c r="C108" s="77">
        <f>C107/'[1]PRODUTIVIDADE IN 05-2017'!$A$3</f>
        <v>1.62</v>
      </c>
      <c r="D108" s="77">
        <f>D107/'[1]PRODUTIVIDADE IN 05-2017'!$E$3</f>
        <v>3.8666666666666669E-2</v>
      </c>
      <c r="E108" s="77">
        <f>E107/'[1]PRODUTIVIDADE IN 05-2017'!$I$3</f>
        <v>0.38900000000000001</v>
      </c>
      <c r="F108" s="77">
        <f>F107/'[1]PRODUTIVIDADE IN 05-2017'!$K$3</f>
        <v>0.75</v>
      </c>
      <c r="G108" s="77">
        <f>G107/'[1]PRODUTIVIDADE IN 05-2017'!$A$7</f>
        <v>8.7577777777777768E-2</v>
      </c>
      <c r="H108" s="77">
        <f>H107/'[1]PRODUTIVIDADE IN 05-2017'!$C$7</f>
        <v>0.61750000000000005</v>
      </c>
      <c r="I108" s="77">
        <f>I107/'[1]PRODUTIVIDADE IN 05-2017'!$E$7</f>
        <v>0.27683999999999997</v>
      </c>
      <c r="J108" s="298">
        <f>J107/'[1]PRODUTIVIDADE IN 05-2017'!$G$7</f>
        <v>0.88410000000000011</v>
      </c>
      <c r="K108" s="313"/>
      <c r="M108" s="275"/>
    </row>
    <row r="109" spans="1:13" ht="30.75" customHeight="1" x14ac:dyDescent="0.25">
      <c r="A109" s="466"/>
      <c r="B109" s="76" t="s">
        <v>590</v>
      </c>
      <c r="C109" s="300">
        <f>SUM(C108:F108)</f>
        <v>2.7976666666666667</v>
      </c>
      <c r="D109" s="301"/>
      <c r="E109" s="301"/>
      <c r="F109" s="302"/>
      <c r="G109" s="300">
        <f>SUM(G108:I108)</f>
        <v>0.98191777777777778</v>
      </c>
      <c r="H109" s="301"/>
      <c r="I109" s="302"/>
      <c r="J109" s="299"/>
      <c r="K109" s="313"/>
      <c r="M109" s="275"/>
    </row>
    <row r="110" spans="1:13" ht="30.75" customHeight="1" x14ac:dyDescent="0.25">
      <c r="A110" s="467"/>
      <c r="B110" s="76" t="s">
        <v>591</v>
      </c>
      <c r="C110" s="303">
        <v>3</v>
      </c>
      <c r="D110" s="304"/>
      <c r="E110" s="304"/>
      <c r="F110" s="305"/>
      <c r="G110" s="303">
        <v>1</v>
      </c>
      <c r="H110" s="304"/>
      <c r="I110" s="305"/>
      <c r="J110" s="78">
        <v>1</v>
      </c>
      <c r="K110" s="314"/>
      <c r="M110" s="275"/>
    </row>
    <row r="111" spans="1:13" ht="30.75" customHeight="1" x14ac:dyDescent="0.25">
      <c r="A111" s="462">
        <v>27</v>
      </c>
      <c r="B111" s="73" t="s">
        <v>617</v>
      </c>
      <c r="C111" s="74">
        <v>1378.73</v>
      </c>
      <c r="D111" s="74">
        <v>0</v>
      </c>
      <c r="E111" s="74">
        <v>247</v>
      </c>
      <c r="F111" s="74">
        <v>95.73</v>
      </c>
      <c r="G111" s="74">
        <v>263.60000000000002</v>
      </c>
      <c r="H111" s="74">
        <v>1975.9</v>
      </c>
      <c r="I111" s="74">
        <v>1303.26</v>
      </c>
      <c r="J111" s="74">
        <v>222.45</v>
      </c>
      <c r="K111" s="281">
        <f>SUM(C114:J114)</f>
        <v>3</v>
      </c>
      <c r="M111" s="280">
        <v>3</v>
      </c>
    </row>
    <row r="112" spans="1:13" ht="30.75" customHeight="1" x14ac:dyDescent="0.25">
      <c r="A112" s="463"/>
      <c r="B112" s="73" t="s">
        <v>589</v>
      </c>
      <c r="C112" s="74">
        <f>C111/'[1]PRODUTIVIDADE IN 05-2017'!$A$3</f>
        <v>1.7234125</v>
      </c>
      <c r="D112" s="74">
        <f>D111/'[1]PRODUTIVIDADE IN 05-2017'!$E$3</f>
        <v>0</v>
      </c>
      <c r="E112" s="74">
        <f>E111/'[1]PRODUTIVIDADE IN 05-2017'!$I$3</f>
        <v>0.247</v>
      </c>
      <c r="F112" s="74">
        <f>F111/'[1]PRODUTIVIDADE IN 05-2017'!$K$3</f>
        <v>0.47865000000000002</v>
      </c>
      <c r="G112" s="74">
        <f>G111/'[1]PRODUTIVIDADE IN 05-2017'!$A$7</f>
        <v>0.14644444444444446</v>
      </c>
      <c r="H112" s="74">
        <f>H111/'[1]PRODUTIVIDADE IN 05-2017'!$C$7</f>
        <v>0.3293166666666667</v>
      </c>
      <c r="I112" s="74">
        <f>I111/'[1]PRODUTIVIDADE IN 05-2017'!$E$7</f>
        <v>1.30326E-2</v>
      </c>
      <c r="J112" s="267">
        <f>J111/'[1]PRODUTIVIDADE IN 05-2017'!$G$7</f>
        <v>0.74149999999999994</v>
      </c>
      <c r="K112" s="282"/>
      <c r="M112" s="280"/>
    </row>
    <row r="113" spans="1:13" ht="30.75" customHeight="1" x14ac:dyDescent="0.25">
      <c r="A113" s="463"/>
      <c r="B113" s="73" t="s">
        <v>590</v>
      </c>
      <c r="C113" s="269">
        <f>SUM(C112:F112)</f>
        <v>2.4490625000000001</v>
      </c>
      <c r="D113" s="270"/>
      <c r="E113" s="270"/>
      <c r="F113" s="271"/>
      <c r="G113" s="269">
        <f>SUM(G112:I112)</f>
        <v>0.4887937111111112</v>
      </c>
      <c r="H113" s="270"/>
      <c r="I113" s="271"/>
      <c r="J113" s="268"/>
      <c r="K113" s="282"/>
      <c r="M113" s="280"/>
    </row>
    <row r="114" spans="1:13" ht="30.75" customHeight="1" thickBot="1" x14ac:dyDescent="0.3">
      <c r="A114" s="464"/>
      <c r="B114" s="73" t="s">
        <v>591</v>
      </c>
      <c r="C114" s="272">
        <v>2</v>
      </c>
      <c r="D114" s="273"/>
      <c r="E114" s="273"/>
      <c r="F114" s="274"/>
      <c r="G114" s="272">
        <v>0</v>
      </c>
      <c r="H114" s="273"/>
      <c r="I114" s="274"/>
      <c r="J114" s="75">
        <v>1</v>
      </c>
      <c r="K114" s="283"/>
      <c r="M114" s="280"/>
    </row>
    <row r="115" spans="1:13" ht="69.75" customHeight="1" x14ac:dyDescent="0.25">
      <c r="A115" s="469" t="s">
        <v>574</v>
      </c>
      <c r="B115" s="286" t="s">
        <v>575</v>
      </c>
      <c r="C115" s="288" t="s">
        <v>576</v>
      </c>
      <c r="D115" s="288"/>
      <c r="E115" s="288"/>
      <c r="F115" s="288"/>
      <c r="G115" s="289" t="s">
        <v>577</v>
      </c>
      <c r="H115" s="289"/>
      <c r="I115" s="289"/>
      <c r="J115" s="65" t="s">
        <v>568</v>
      </c>
      <c r="K115" s="66" t="s">
        <v>578</v>
      </c>
      <c r="M115" s="188"/>
    </row>
    <row r="116" spans="1:13" ht="30.75" customHeight="1" thickBot="1" x14ac:dyDescent="0.3">
      <c r="A116" s="470"/>
      <c r="B116" s="287"/>
      <c r="C116" s="67" t="s">
        <v>580</v>
      </c>
      <c r="D116" s="67" t="s">
        <v>581</v>
      </c>
      <c r="E116" s="67" t="s">
        <v>582</v>
      </c>
      <c r="F116" s="67" t="s">
        <v>565</v>
      </c>
      <c r="G116" s="68" t="s">
        <v>583</v>
      </c>
      <c r="H116" s="68" t="s">
        <v>584</v>
      </c>
      <c r="I116" s="68" t="s">
        <v>585</v>
      </c>
      <c r="J116" s="69" t="s">
        <v>586</v>
      </c>
      <c r="K116" s="70" t="s">
        <v>587</v>
      </c>
      <c r="M116" s="188"/>
    </row>
    <row r="117" spans="1:13" ht="30.75" customHeight="1" x14ac:dyDescent="0.25">
      <c r="A117" s="474">
        <v>28</v>
      </c>
      <c r="B117" s="81" t="s">
        <v>744</v>
      </c>
      <c r="C117" s="80">
        <v>1290.22</v>
      </c>
      <c r="D117" s="80">
        <v>0</v>
      </c>
      <c r="E117" s="80">
        <v>205.2</v>
      </c>
      <c r="F117" s="80">
        <v>94.2</v>
      </c>
      <c r="G117" s="80">
        <v>400.68</v>
      </c>
      <c r="H117" s="80">
        <v>4500</v>
      </c>
      <c r="I117" s="80">
        <v>9120</v>
      </c>
      <c r="J117" s="80">
        <v>310</v>
      </c>
      <c r="K117" s="312">
        <f>SUM(C120:J120)</f>
        <v>4</v>
      </c>
      <c r="M117" s="275">
        <v>4</v>
      </c>
    </row>
    <row r="118" spans="1:13" ht="30.75" customHeight="1" x14ac:dyDescent="0.25">
      <c r="A118" s="474"/>
      <c r="B118" s="82" t="s">
        <v>589</v>
      </c>
      <c r="C118" s="77">
        <f>C117/'[1]PRODUTIVIDADE IN 05-2017'!$A$3</f>
        <v>1.6127750000000001</v>
      </c>
      <c r="D118" s="77">
        <f>D117/'[1]PRODUTIVIDADE IN 05-2017'!$E$3</f>
        <v>0</v>
      </c>
      <c r="E118" s="77">
        <f>E117/'[1]PRODUTIVIDADE IN 05-2017'!$I$3</f>
        <v>0.20519999999999999</v>
      </c>
      <c r="F118" s="77">
        <f>F117/'[1]PRODUTIVIDADE IN 05-2017'!$K$3</f>
        <v>0.47100000000000003</v>
      </c>
      <c r="G118" s="77">
        <f>G117/'[1]PRODUTIVIDADE IN 05-2017'!$A$7</f>
        <v>0.22259999999999999</v>
      </c>
      <c r="H118" s="77">
        <f>H117/'[1]PRODUTIVIDADE IN 05-2017'!$C$7</f>
        <v>0.75</v>
      </c>
      <c r="I118" s="77">
        <f>I117/'[1]PRODUTIVIDADE IN 05-2017'!$E$7</f>
        <v>9.1200000000000003E-2</v>
      </c>
      <c r="J118" s="298">
        <f>J117/'[1]PRODUTIVIDADE IN 05-2017'!$G$7</f>
        <v>1.0333333333333334</v>
      </c>
      <c r="K118" s="313"/>
      <c r="M118" s="275"/>
    </row>
    <row r="119" spans="1:13" ht="30.75" customHeight="1" x14ac:dyDescent="0.25">
      <c r="A119" s="474"/>
      <c r="B119" s="82" t="s">
        <v>590</v>
      </c>
      <c r="C119" s="300">
        <f>SUM(C118:F118)</f>
        <v>2.2889750000000002</v>
      </c>
      <c r="D119" s="301"/>
      <c r="E119" s="301"/>
      <c r="F119" s="302"/>
      <c r="G119" s="300">
        <f>SUM(G118:I118)</f>
        <v>1.0638000000000001</v>
      </c>
      <c r="H119" s="301"/>
      <c r="I119" s="302"/>
      <c r="J119" s="299"/>
      <c r="K119" s="313"/>
      <c r="M119" s="275"/>
    </row>
    <row r="120" spans="1:13" ht="30.75" customHeight="1" x14ac:dyDescent="0.25">
      <c r="A120" s="474"/>
      <c r="B120" s="82" t="s">
        <v>591</v>
      </c>
      <c r="C120" s="303">
        <v>2</v>
      </c>
      <c r="D120" s="304"/>
      <c r="E120" s="304"/>
      <c r="F120" s="305"/>
      <c r="G120" s="303">
        <v>1</v>
      </c>
      <c r="H120" s="304"/>
      <c r="I120" s="305"/>
      <c r="J120" s="78">
        <v>1</v>
      </c>
      <c r="K120" s="322"/>
      <c r="M120" s="275"/>
    </row>
    <row r="121" spans="1:13" ht="30.75" customHeight="1" x14ac:dyDescent="0.25">
      <c r="A121" s="475">
        <v>29</v>
      </c>
      <c r="B121" s="83" t="s">
        <v>619</v>
      </c>
      <c r="C121" s="74">
        <v>601.4</v>
      </c>
      <c r="D121" s="74">
        <v>0</v>
      </c>
      <c r="E121" s="74">
        <v>151.5</v>
      </c>
      <c r="F121" s="74">
        <v>60.3</v>
      </c>
      <c r="G121" s="168">
        <v>182</v>
      </c>
      <c r="H121" s="74">
        <v>1100</v>
      </c>
      <c r="I121" s="74">
        <v>1039</v>
      </c>
      <c r="J121" s="74">
        <v>181</v>
      </c>
      <c r="K121" s="264">
        <f>SUM(C124:J124)</f>
        <v>2</v>
      </c>
      <c r="M121" s="276">
        <v>2</v>
      </c>
    </row>
    <row r="122" spans="1:13" ht="30.75" customHeight="1" x14ac:dyDescent="0.25">
      <c r="A122" s="475"/>
      <c r="B122" s="83" t="s">
        <v>589</v>
      </c>
      <c r="C122" s="74">
        <f>C121/'[1]PRODUTIVIDADE IN 05-2017'!$A$3</f>
        <v>0.75174999999999992</v>
      </c>
      <c r="D122" s="74">
        <f>D121/'[1]PRODUTIVIDADE IN 05-2017'!$E$3</f>
        <v>0</v>
      </c>
      <c r="E122" s="74">
        <f>E121/'[1]PRODUTIVIDADE IN 05-2017'!$I$3</f>
        <v>0.1515</v>
      </c>
      <c r="F122" s="74">
        <f>F121/'[1]PRODUTIVIDADE IN 05-2017'!$K$3</f>
        <v>0.30149999999999999</v>
      </c>
      <c r="G122" s="74">
        <f>G121/'[1]PRODUTIVIDADE IN 05-2017'!$A$7</f>
        <v>0.10111111111111111</v>
      </c>
      <c r="H122" s="74">
        <f>H121/'[1]PRODUTIVIDADE IN 05-2017'!$C$7</f>
        <v>0.18333333333333332</v>
      </c>
      <c r="I122" s="74">
        <f>I121/'[1]PRODUTIVIDADE IN 05-2017'!$E$7</f>
        <v>1.039E-2</v>
      </c>
      <c r="J122" s="267">
        <f>J121/'[1]PRODUTIVIDADE IN 05-2017'!$G$7</f>
        <v>0.60333333333333339</v>
      </c>
      <c r="K122" s="265"/>
      <c r="M122" s="276"/>
    </row>
    <row r="123" spans="1:13" ht="30.75" customHeight="1" x14ac:dyDescent="0.25">
      <c r="A123" s="475"/>
      <c r="B123" s="83" t="s">
        <v>590</v>
      </c>
      <c r="C123" s="269">
        <f>SUM(C122:F122)</f>
        <v>1.2047499999999998</v>
      </c>
      <c r="D123" s="270"/>
      <c r="E123" s="270"/>
      <c r="F123" s="271"/>
      <c r="G123" s="269">
        <f>SUM(G122:I122)</f>
        <v>0.29483444444444445</v>
      </c>
      <c r="H123" s="270"/>
      <c r="I123" s="271"/>
      <c r="J123" s="268"/>
      <c r="K123" s="265"/>
      <c r="M123" s="276"/>
    </row>
    <row r="124" spans="1:13" ht="30.75" customHeight="1" x14ac:dyDescent="0.25">
      <c r="A124" s="475"/>
      <c r="B124" s="83" t="s">
        <v>591</v>
      </c>
      <c r="C124" s="272">
        <v>1</v>
      </c>
      <c r="D124" s="273"/>
      <c r="E124" s="273"/>
      <c r="F124" s="274"/>
      <c r="G124" s="272">
        <v>0</v>
      </c>
      <c r="H124" s="273"/>
      <c r="I124" s="274"/>
      <c r="J124" s="75">
        <v>1</v>
      </c>
      <c r="K124" s="266"/>
      <c r="M124" s="276"/>
    </row>
    <row r="125" spans="1:13" ht="30.75" customHeight="1" x14ac:dyDescent="0.25">
      <c r="A125" s="474">
        <v>30</v>
      </c>
      <c r="B125" s="81" t="s">
        <v>620</v>
      </c>
      <c r="C125" s="80">
        <v>3832</v>
      </c>
      <c r="D125" s="80">
        <v>205</v>
      </c>
      <c r="E125" s="80">
        <v>742</v>
      </c>
      <c r="F125" s="80">
        <v>334</v>
      </c>
      <c r="G125" s="80">
        <v>1168</v>
      </c>
      <c r="H125" s="80">
        <v>6033</v>
      </c>
      <c r="I125" s="80"/>
      <c r="J125" s="80">
        <v>550</v>
      </c>
      <c r="K125" s="312">
        <f>SUM(C128:J128)</f>
        <v>11</v>
      </c>
      <c r="M125" s="275">
        <v>12</v>
      </c>
    </row>
    <row r="126" spans="1:13" ht="30.75" customHeight="1" x14ac:dyDescent="0.25">
      <c r="A126" s="474"/>
      <c r="B126" s="82" t="s">
        <v>589</v>
      </c>
      <c r="C126" s="77">
        <f>C125/'[1]PRODUTIVIDADE IN 05-2017'!$A$3</f>
        <v>4.79</v>
      </c>
      <c r="D126" s="77">
        <f>D125/'[1]PRODUTIVIDADE IN 05-2017'!$E$3</f>
        <v>0.13666666666666666</v>
      </c>
      <c r="E126" s="77">
        <f>E125/'[1]PRODUTIVIDADE IN 05-2017'!$I$3</f>
        <v>0.74199999999999999</v>
      </c>
      <c r="F126" s="77">
        <f>F125/'[1]PRODUTIVIDADE IN 05-2017'!$K$3</f>
        <v>1.67</v>
      </c>
      <c r="G126" s="77">
        <f>G125/'[1]PRODUTIVIDADE IN 05-2017'!$A$7</f>
        <v>0.64888888888888885</v>
      </c>
      <c r="H126" s="77">
        <f>H125/'[1]PRODUTIVIDADE IN 05-2017'!$C$7</f>
        <v>1.0055000000000001</v>
      </c>
      <c r="I126" s="77">
        <f>I125/'[1]PRODUTIVIDADE IN 05-2017'!$E$7</f>
        <v>0</v>
      </c>
      <c r="J126" s="298">
        <f>J125/'[1]PRODUTIVIDADE IN 05-2017'!$G$7</f>
        <v>1.8333333333333333</v>
      </c>
      <c r="K126" s="313"/>
      <c r="M126" s="275"/>
    </row>
    <row r="127" spans="1:13" ht="30.75" customHeight="1" x14ac:dyDescent="0.25">
      <c r="A127" s="474"/>
      <c r="B127" s="82" t="s">
        <v>590</v>
      </c>
      <c r="C127" s="300">
        <f>SUM(C126:F126)</f>
        <v>7.3386666666666667</v>
      </c>
      <c r="D127" s="301"/>
      <c r="E127" s="301"/>
      <c r="F127" s="302"/>
      <c r="G127" s="300">
        <f>SUM(G126:I126)</f>
        <v>1.6543888888888889</v>
      </c>
      <c r="H127" s="301"/>
      <c r="I127" s="302"/>
      <c r="J127" s="299"/>
      <c r="K127" s="313"/>
      <c r="M127" s="275"/>
    </row>
    <row r="128" spans="1:13" ht="30.75" customHeight="1" x14ac:dyDescent="0.25">
      <c r="A128" s="474"/>
      <c r="B128" s="82" t="s">
        <v>591</v>
      </c>
      <c r="C128" s="303">
        <v>7</v>
      </c>
      <c r="D128" s="304"/>
      <c r="E128" s="304"/>
      <c r="F128" s="305"/>
      <c r="G128" s="303">
        <v>2</v>
      </c>
      <c r="H128" s="304"/>
      <c r="I128" s="305"/>
      <c r="J128" s="78">
        <v>2</v>
      </c>
      <c r="K128" s="322"/>
      <c r="M128" s="275"/>
    </row>
    <row r="129" spans="1:13" ht="30.75" customHeight="1" x14ac:dyDescent="0.25">
      <c r="A129" s="476">
        <v>31</v>
      </c>
      <c r="B129" s="84" t="s">
        <v>621</v>
      </c>
      <c r="C129" s="85">
        <v>1341.29</v>
      </c>
      <c r="D129" s="85">
        <v>22.35</v>
      </c>
      <c r="E129" s="85">
        <v>310</v>
      </c>
      <c r="F129" s="85">
        <v>96.71</v>
      </c>
      <c r="G129" s="85">
        <v>168.36</v>
      </c>
      <c r="H129" s="85">
        <v>2651</v>
      </c>
      <c r="I129" s="85">
        <v>25784.86</v>
      </c>
      <c r="J129" s="85">
        <v>237.23</v>
      </c>
      <c r="K129" s="281">
        <f>SUM(C132:J132)</f>
        <v>4</v>
      </c>
      <c r="M129" s="280">
        <v>4</v>
      </c>
    </row>
    <row r="130" spans="1:13" ht="30.75" customHeight="1" x14ac:dyDescent="0.25">
      <c r="A130" s="476"/>
      <c r="B130" s="83" t="s">
        <v>589</v>
      </c>
      <c r="C130" s="74">
        <f>C129/'[1]PRODUTIVIDADE IN 05-2017'!$A$3</f>
        <v>1.6766125000000001</v>
      </c>
      <c r="D130" s="74">
        <f>D129/'[1]PRODUTIVIDADE IN 05-2017'!$E$3</f>
        <v>1.4900000000000002E-2</v>
      </c>
      <c r="E130" s="74">
        <f>E129/'[1]PRODUTIVIDADE IN 05-2017'!$I$3</f>
        <v>0.31</v>
      </c>
      <c r="F130" s="74">
        <f>F129/'[1]PRODUTIVIDADE IN 05-2017'!$K$3</f>
        <v>0.48354999999999998</v>
      </c>
      <c r="G130" s="74">
        <f>G129/'[1]PRODUTIVIDADE IN 05-2017'!$A$7</f>
        <v>9.3533333333333343E-2</v>
      </c>
      <c r="H130" s="74">
        <f>H129/'[1]PRODUTIVIDADE IN 05-2017'!$C$7</f>
        <v>0.44183333333333336</v>
      </c>
      <c r="I130" s="74">
        <f>I129/'[1]PRODUTIVIDADE IN 05-2017'!$E$7</f>
        <v>0.25784859999999998</v>
      </c>
      <c r="J130" s="267">
        <f>J129/'[1]PRODUTIVIDADE IN 05-2017'!$G$7</f>
        <v>0.79076666666666662</v>
      </c>
      <c r="K130" s="282"/>
      <c r="M130" s="280"/>
    </row>
    <row r="131" spans="1:13" ht="30.75" customHeight="1" x14ac:dyDescent="0.25">
      <c r="A131" s="476"/>
      <c r="B131" s="83" t="s">
        <v>590</v>
      </c>
      <c r="C131" s="335">
        <f>SUM(C130:F130)</f>
        <v>2.4850625000000002</v>
      </c>
      <c r="D131" s="336"/>
      <c r="E131" s="336"/>
      <c r="F131" s="337"/>
      <c r="G131" s="335">
        <f>SUM(G130:I130)</f>
        <v>0.79321526666666664</v>
      </c>
      <c r="H131" s="336"/>
      <c r="I131" s="337"/>
      <c r="J131" s="334"/>
      <c r="K131" s="282"/>
      <c r="M131" s="280"/>
    </row>
    <row r="132" spans="1:13" ht="30.75" customHeight="1" x14ac:dyDescent="0.25">
      <c r="A132" s="476"/>
      <c r="B132" s="86" t="s">
        <v>591</v>
      </c>
      <c r="C132" s="338">
        <v>2</v>
      </c>
      <c r="D132" s="338"/>
      <c r="E132" s="338"/>
      <c r="F132" s="338"/>
      <c r="G132" s="338">
        <v>1</v>
      </c>
      <c r="H132" s="338"/>
      <c r="I132" s="338"/>
      <c r="J132" s="149">
        <v>1</v>
      </c>
      <c r="K132" s="283"/>
      <c r="M132" s="280"/>
    </row>
    <row r="133" spans="1:13" ht="30.75" customHeight="1" x14ac:dyDescent="0.25">
      <c r="A133" s="477">
        <v>32</v>
      </c>
      <c r="B133" s="82" t="s">
        <v>743</v>
      </c>
      <c r="C133" s="77">
        <v>113.15</v>
      </c>
      <c r="D133" s="77">
        <v>25.8</v>
      </c>
      <c r="E133" s="77"/>
      <c r="F133" s="77">
        <v>12</v>
      </c>
      <c r="G133" s="77">
        <v>639.54999999999995</v>
      </c>
      <c r="H133" s="77">
        <v>295</v>
      </c>
      <c r="I133" s="77">
        <v>11383.45</v>
      </c>
      <c r="J133" s="77">
        <v>153.22999999999999</v>
      </c>
      <c r="K133" s="326">
        <f>SUM(C136:J136)</f>
        <v>2</v>
      </c>
      <c r="M133" s="275" t="s">
        <v>623</v>
      </c>
    </row>
    <row r="134" spans="1:13" ht="30.75" customHeight="1" x14ac:dyDescent="0.25">
      <c r="A134" s="477"/>
      <c r="B134" s="82" t="s">
        <v>589</v>
      </c>
      <c r="C134" s="77">
        <f>C133/'[1]PRODUTIVIDADE IN 05-2017'!$A$3</f>
        <v>0.14143749999999999</v>
      </c>
      <c r="D134" s="77">
        <f>D133/'[1]PRODUTIVIDADE IN 05-2017'!$E$3</f>
        <v>1.72E-2</v>
      </c>
      <c r="E134" s="77">
        <f>E133/'[1]PRODUTIVIDADE IN 05-2017'!$I$3</f>
        <v>0</v>
      </c>
      <c r="F134" s="77">
        <f>F133/'[1]PRODUTIVIDADE IN 05-2017'!$K$3</f>
        <v>0.06</v>
      </c>
      <c r="G134" s="77">
        <f>G133/'[1]PRODUTIVIDADE IN 05-2017'!$A$7</f>
        <v>0.35530555555555554</v>
      </c>
      <c r="H134" s="77">
        <f>H133/'[1]PRODUTIVIDADE IN 05-2017'!$C$7</f>
        <v>4.9166666666666664E-2</v>
      </c>
      <c r="I134" s="77">
        <f>I133/'[1]PRODUTIVIDADE IN 05-2017'!$E$7</f>
        <v>0.11383450000000001</v>
      </c>
      <c r="J134" s="298">
        <f>J133/'[1]PRODUTIVIDADE IN 05-2017'!$G$7</f>
        <v>0.51076666666666659</v>
      </c>
      <c r="K134" s="327"/>
      <c r="M134" s="275"/>
    </row>
    <row r="135" spans="1:13" ht="30.75" customHeight="1" x14ac:dyDescent="0.25">
      <c r="A135" s="477"/>
      <c r="B135" s="82" t="s">
        <v>590</v>
      </c>
      <c r="C135" s="330">
        <f>SUM(C134:F134)</f>
        <v>0.21863749999999998</v>
      </c>
      <c r="D135" s="331"/>
      <c r="E135" s="331"/>
      <c r="F135" s="332"/>
      <c r="G135" s="330">
        <f>SUM(G134:I134)</f>
        <v>0.51830672222222218</v>
      </c>
      <c r="H135" s="331"/>
      <c r="I135" s="332"/>
      <c r="J135" s="329"/>
      <c r="K135" s="327"/>
      <c r="M135" s="275"/>
    </row>
    <row r="136" spans="1:13" ht="30.75" customHeight="1" x14ac:dyDescent="0.25">
      <c r="A136" s="477"/>
      <c r="B136" s="151" t="s">
        <v>591</v>
      </c>
      <c r="C136" s="333">
        <v>0</v>
      </c>
      <c r="D136" s="333"/>
      <c r="E136" s="333"/>
      <c r="F136" s="333"/>
      <c r="G136" s="333">
        <v>1</v>
      </c>
      <c r="H136" s="333"/>
      <c r="I136" s="333"/>
      <c r="J136" s="150">
        <v>1</v>
      </c>
      <c r="K136" s="328"/>
      <c r="M136" s="275"/>
    </row>
    <row r="137" spans="1:13" ht="60" customHeight="1" x14ac:dyDescent="0.25">
      <c r="A137" s="339" t="s">
        <v>624</v>
      </c>
      <c r="B137" s="339"/>
      <c r="C137" s="339"/>
      <c r="D137" s="339"/>
      <c r="E137" s="339"/>
      <c r="F137" s="339"/>
      <c r="G137" s="339"/>
      <c r="H137" s="339"/>
      <c r="I137" s="339"/>
      <c r="J137" s="339"/>
      <c r="K137" s="87">
        <f>SUM(K3:K136)</f>
        <v>98</v>
      </c>
      <c r="M137" s="144">
        <f>SUM(M3:M136)</f>
        <v>96</v>
      </c>
    </row>
    <row r="138" spans="1:13" ht="30" customHeight="1" x14ac:dyDescent="0.25">
      <c r="A138" s="323" t="s">
        <v>625</v>
      </c>
      <c r="B138" s="323"/>
      <c r="C138" s="323"/>
      <c r="D138" s="323"/>
      <c r="E138" s="323"/>
      <c r="F138" s="323"/>
      <c r="G138" s="323"/>
      <c r="H138" s="323"/>
      <c r="I138" s="323"/>
      <c r="J138" s="323"/>
      <c r="K138" s="323"/>
    </row>
    <row r="139" spans="1:13" ht="24" customHeight="1" x14ac:dyDescent="0.25">
      <c r="A139" s="324" t="s">
        <v>742</v>
      </c>
      <c r="B139" s="324"/>
      <c r="C139" s="324"/>
      <c r="D139" s="324"/>
      <c r="E139" s="324"/>
      <c r="F139" s="324"/>
      <c r="G139" s="324"/>
      <c r="H139" s="324"/>
      <c r="I139" s="324"/>
      <c r="J139" s="324"/>
      <c r="K139" s="324"/>
    </row>
  </sheetData>
  <mergeCells count="275">
    <mergeCell ref="A39:A40"/>
    <mergeCell ref="B39:B40"/>
    <mergeCell ref="C39:F39"/>
    <mergeCell ref="G39:I39"/>
    <mergeCell ref="A77:A78"/>
    <mergeCell ref="B77:B78"/>
    <mergeCell ref="C77:F77"/>
    <mergeCell ref="G77:I77"/>
    <mergeCell ref="A115:A116"/>
    <mergeCell ref="B115:B116"/>
    <mergeCell ref="C115:F115"/>
    <mergeCell ref="G115:I115"/>
    <mergeCell ref="A137:J137"/>
    <mergeCell ref="A125:A128"/>
    <mergeCell ref="A111:A114"/>
    <mergeCell ref="A103:A106"/>
    <mergeCell ref="A95:A98"/>
    <mergeCell ref="A87:A90"/>
    <mergeCell ref="A73:A76"/>
    <mergeCell ref="A129:A132"/>
    <mergeCell ref="A121:A124"/>
    <mergeCell ref="A117:A120"/>
    <mergeCell ref="C128:F128"/>
    <mergeCell ref="G128:I128"/>
    <mergeCell ref="G120:I120"/>
    <mergeCell ref="C90:F90"/>
    <mergeCell ref="G90:I90"/>
    <mergeCell ref="G82:I82"/>
    <mergeCell ref="K117:K120"/>
    <mergeCell ref="J118:J119"/>
    <mergeCell ref="C119:F119"/>
    <mergeCell ref="G119:I119"/>
    <mergeCell ref="C120:F120"/>
    <mergeCell ref="A138:K138"/>
    <mergeCell ref="A139:K139"/>
    <mergeCell ref="A133:A136"/>
    <mergeCell ref="K133:K136"/>
    <mergeCell ref="J134:J135"/>
    <mergeCell ref="C135:F135"/>
    <mergeCell ref="G135:I135"/>
    <mergeCell ref="C136:F136"/>
    <mergeCell ref="G136:I136"/>
    <mergeCell ref="K129:K132"/>
    <mergeCell ref="J130:J131"/>
    <mergeCell ref="C131:F131"/>
    <mergeCell ref="G131:I131"/>
    <mergeCell ref="C132:F132"/>
    <mergeCell ref="G132:I132"/>
    <mergeCell ref="K125:K128"/>
    <mergeCell ref="J126:J127"/>
    <mergeCell ref="C127:F127"/>
    <mergeCell ref="G127:I127"/>
    <mergeCell ref="K111:K114"/>
    <mergeCell ref="J112:J113"/>
    <mergeCell ref="C113:F113"/>
    <mergeCell ref="G113:I113"/>
    <mergeCell ref="C114:F114"/>
    <mergeCell ref="G114:I114"/>
    <mergeCell ref="A107:A110"/>
    <mergeCell ref="K107:K110"/>
    <mergeCell ref="J108:J109"/>
    <mergeCell ref="C109:F109"/>
    <mergeCell ref="G109:I109"/>
    <mergeCell ref="C110:F110"/>
    <mergeCell ref="G110:I110"/>
    <mergeCell ref="K103:K106"/>
    <mergeCell ref="J104:J105"/>
    <mergeCell ref="C105:F105"/>
    <mergeCell ref="G105:I105"/>
    <mergeCell ref="C106:F106"/>
    <mergeCell ref="G106:I106"/>
    <mergeCell ref="A99:A102"/>
    <mergeCell ref="K99:K102"/>
    <mergeCell ref="J100:J101"/>
    <mergeCell ref="C101:F101"/>
    <mergeCell ref="G101:I101"/>
    <mergeCell ref="C102:F102"/>
    <mergeCell ref="G102:I102"/>
    <mergeCell ref="K95:K98"/>
    <mergeCell ref="J96:J97"/>
    <mergeCell ref="C97:F97"/>
    <mergeCell ref="G97:I97"/>
    <mergeCell ref="C98:F98"/>
    <mergeCell ref="G98:I98"/>
    <mergeCell ref="A91:A94"/>
    <mergeCell ref="K91:K94"/>
    <mergeCell ref="J92:J93"/>
    <mergeCell ref="C93:F93"/>
    <mergeCell ref="G93:I93"/>
    <mergeCell ref="C94:F94"/>
    <mergeCell ref="G94:I94"/>
    <mergeCell ref="A83:A86"/>
    <mergeCell ref="K83:K86"/>
    <mergeCell ref="J84:J85"/>
    <mergeCell ref="C85:F85"/>
    <mergeCell ref="G85:I85"/>
    <mergeCell ref="C86:F86"/>
    <mergeCell ref="G86:I86"/>
    <mergeCell ref="A79:A82"/>
    <mergeCell ref="K79:K82"/>
    <mergeCell ref="J80:J81"/>
    <mergeCell ref="C81:F81"/>
    <mergeCell ref="G81:I81"/>
    <mergeCell ref="C82:F82"/>
    <mergeCell ref="K73:K76"/>
    <mergeCell ref="J74:J75"/>
    <mergeCell ref="C75:F75"/>
    <mergeCell ref="G75:I75"/>
    <mergeCell ref="C76:F76"/>
    <mergeCell ref="G76:I76"/>
    <mergeCell ref="A69:A72"/>
    <mergeCell ref="K69:K72"/>
    <mergeCell ref="J70:J71"/>
    <mergeCell ref="C71:F71"/>
    <mergeCell ref="G71:I71"/>
    <mergeCell ref="C72:F72"/>
    <mergeCell ref="G72:I72"/>
    <mergeCell ref="A65:A68"/>
    <mergeCell ref="K65:K68"/>
    <mergeCell ref="J66:J67"/>
    <mergeCell ref="C67:F67"/>
    <mergeCell ref="G67:I67"/>
    <mergeCell ref="C68:F68"/>
    <mergeCell ref="G68:I68"/>
    <mergeCell ref="A61:A64"/>
    <mergeCell ref="K61:K64"/>
    <mergeCell ref="J62:J63"/>
    <mergeCell ref="C63:F63"/>
    <mergeCell ref="G63:I63"/>
    <mergeCell ref="C64:F64"/>
    <mergeCell ref="G64:I64"/>
    <mergeCell ref="A57:A60"/>
    <mergeCell ref="K57:K60"/>
    <mergeCell ref="J58:J59"/>
    <mergeCell ref="C59:F59"/>
    <mergeCell ref="G59:I59"/>
    <mergeCell ref="C60:F60"/>
    <mergeCell ref="G60:I60"/>
    <mergeCell ref="A53:A56"/>
    <mergeCell ref="K53:K56"/>
    <mergeCell ref="J54:J55"/>
    <mergeCell ref="C55:F55"/>
    <mergeCell ref="G55:I55"/>
    <mergeCell ref="C56:F56"/>
    <mergeCell ref="G56:I56"/>
    <mergeCell ref="A49:A52"/>
    <mergeCell ref="K49:K52"/>
    <mergeCell ref="J50:J51"/>
    <mergeCell ref="C51:F51"/>
    <mergeCell ref="G51:I51"/>
    <mergeCell ref="C52:F52"/>
    <mergeCell ref="G52:I52"/>
    <mergeCell ref="G44:I44"/>
    <mergeCell ref="A45:A48"/>
    <mergeCell ref="K45:K48"/>
    <mergeCell ref="J46:J47"/>
    <mergeCell ref="C47:F47"/>
    <mergeCell ref="G47:I47"/>
    <mergeCell ref="C48:F48"/>
    <mergeCell ref="G48:I48"/>
    <mergeCell ref="A41:A44"/>
    <mergeCell ref="K41:K44"/>
    <mergeCell ref="J42:J43"/>
    <mergeCell ref="C43:F43"/>
    <mergeCell ref="G43:I43"/>
    <mergeCell ref="C44:F44"/>
    <mergeCell ref="A35:A38"/>
    <mergeCell ref="K35:K38"/>
    <mergeCell ref="J36:J37"/>
    <mergeCell ref="C37:F37"/>
    <mergeCell ref="G37:I37"/>
    <mergeCell ref="C38:F38"/>
    <mergeCell ref="G38:I38"/>
    <mergeCell ref="A31:A34"/>
    <mergeCell ref="K31:K34"/>
    <mergeCell ref="J32:J33"/>
    <mergeCell ref="C33:F33"/>
    <mergeCell ref="G33:I33"/>
    <mergeCell ref="C34:F34"/>
    <mergeCell ref="G34:I34"/>
    <mergeCell ref="A27:A30"/>
    <mergeCell ref="K27:K30"/>
    <mergeCell ref="J28:J29"/>
    <mergeCell ref="C29:F29"/>
    <mergeCell ref="G29:I29"/>
    <mergeCell ref="C30:F30"/>
    <mergeCell ref="G30:I30"/>
    <mergeCell ref="A23:A26"/>
    <mergeCell ref="K23:K26"/>
    <mergeCell ref="J24:J25"/>
    <mergeCell ref="C25:F25"/>
    <mergeCell ref="G25:I25"/>
    <mergeCell ref="C26:F26"/>
    <mergeCell ref="G26:I26"/>
    <mergeCell ref="A19:A22"/>
    <mergeCell ref="K19:K22"/>
    <mergeCell ref="J20:J21"/>
    <mergeCell ref="C21:F21"/>
    <mergeCell ref="G21:I21"/>
    <mergeCell ref="C22:F22"/>
    <mergeCell ref="G22:I22"/>
    <mergeCell ref="A15:A18"/>
    <mergeCell ref="K15:K18"/>
    <mergeCell ref="J16:J17"/>
    <mergeCell ref="C17:F17"/>
    <mergeCell ref="G17:I17"/>
    <mergeCell ref="C18:F18"/>
    <mergeCell ref="G18:I18"/>
    <mergeCell ref="A11:A14"/>
    <mergeCell ref="K11:K14"/>
    <mergeCell ref="J12:J13"/>
    <mergeCell ref="C13:F13"/>
    <mergeCell ref="G13:I13"/>
    <mergeCell ref="C14:F14"/>
    <mergeCell ref="G14:I14"/>
    <mergeCell ref="G6:I6"/>
    <mergeCell ref="K7:K10"/>
    <mergeCell ref="J8:J9"/>
    <mergeCell ref="C9:F9"/>
    <mergeCell ref="G9:I9"/>
    <mergeCell ref="C10:F10"/>
    <mergeCell ref="G10:I10"/>
    <mergeCell ref="A7:A10"/>
    <mergeCell ref="A1:A2"/>
    <mergeCell ref="B1:B2"/>
    <mergeCell ref="C1:F1"/>
    <mergeCell ref="G1:I1"/>
    <mergeCell ref="A3:A6"/>
    <mergeCell ref="K3:K6"/>
    <mergeCell ref="J4:J5"/>
    <mergeCell ref="C5:F5"/>
    <mergeCell ref="G5:I5"/>
    <mergeCell ref="C6:F6"/>
    <mergeCell ref="M3:M6"/>
    <mergeCell ref="M7:M10"/>
    <mergeCell ref="M11:M14"/>
    <mergeCell ref="M15:M18"/>
    <mergeCell ref="M19:M22"/>
    <mergeCell ref="M23:M26"/>
    <mergeCell ref="M27:M30"/>
    <mergeCell ref="M31:M34"/>
    <mergeCell ref="M35:M38"/>
    <mergeCell ref="M41:M44"/>
    <mergeCell ref="M45:M48"/>
    <mergeCell ref="M49:M52"/>
    <mergeCell ref="M53:M56"/>
    <mergeCell ref="M57:M60"/>
    <mergeCell ref="M61:M64"/>
    <mergeCell ref="M65:M68"/>
    <mergeCell ref="M69:M72"/>
    <mergeCell ref="M73:M76"/>
    <mergeCell ref="K121:K124"/>
    <mergeCell ref="J122:J123"/>
    <mergeCell ref="C123:F123"/>
    <mergeCell ref="G123:I123"/>
    <mergeCell ref="C124:F124"/>
    <mergeCell ref="G124:I124"/>
    <mergeCell ref="M133:M136"/>
    <mergeCell ref="M79:M82"/>
    <mergeCell ref="M83:M86"/>
    <mergeCell ref="M87:M90"/>
    <mergeCell ref="M91:M94"/>
    <mergeCell ref="M95:M98"/>
    <mergeCell ref="M99:M102"/>
    <mergeCell ref="M103:M106"/>
    <mergeCell ref="M107:M110"/>
    <mergeCell ref="M111:M114"/>
    <mergeCell ref="M129:M132"/>
    <mergeCell ref="M117:M120"/>
    <mergeCell ref="M121:M124"/>
    <mergeCell ref="M125:M128"/>
    <mergeCell ref="K87:K90"/>
    <mergeCell ref="J88:J89"/>
    <mergeCell ref="C89:F89"/>
    <mergeCell ref="G89:I89"/>
  </mergeCells>
  <printOptions horizontalCentered="1"/>
  <pageMargins left="0.51181102362204722" right="0.51181102362204722" top="0.78740157480314965" bottom="0.39370078740157483" header="0.31496062992125984" footer="0.31496062992125984"/>
  <pageSetup paperSize="9" scale="62" fitToHeight="0" orientation="portrait" horizontalDpi="300" verticalDpi="300" r:id="rId1"/>
  <headerFooter>
    <oddHeader>&amp;C&amp;"Arial,Negrito"&amp;14&amp;UMEMORIA DE CÁLCULO DA QUANTIDADE DE POSTOS DE TRABALHO (SERVENTES) 
ITEM 1 - UNIDADES OPERACIONAIS - SEGUNDA-FEIRA À DOMINGO</oddHeader>
  </headerFooter>
  <rowBreaks count="3" manualBreakCount="3">
    <brk id="38" max="16383" man="1"/>
    <brk id="76" max="16383" man="1"/>
    <brk id="114"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A784-A290-488E-8A87-9DD88CA958E5}">
  <sheetPr>
    <pageSetUpPr fitToPage="1"/>
  </sheetPr>
  <dimension ref="A1:M139"/>
  <sheetViews>
    <sheetView zoomScale="80" zoomScaleNormal="80" workbookViewId="0">
      <pane ySplit="2" topLeftCell="A3" activePane="bottomLeft" state="frozen"/>
      <selection pane="bottomLeft" activeCell="J125" sqref="J125"/>
    </sheetView>
  </sheetViews>
  <sheetFormatPr defaultRowHeight="15" x14ac:dyDescent="0.25"/>
  <cols>
    <col min="1" max="1" width="6.42578125" customWidth="1"/>
    <col min="2" max="2" width="21.42578125" customWidth="1"/>
    <col min="3" max="10" width="12.7109375" customWidth="1"/>
    <col min="11" max="11" width="22.28515625" customWidth="1"/>
    <col min="12" max="12" width="3.140625" customWidth="1"/>
    <col min="13" max="13" width="10.85546875" style="141" bestFit="1" customWidth="1"/>
  </cols>
  <sheetData>
    <row r="1" spans="1:13" ht="70.5" customHeight="1" x14ac:dyDescent="0.25">
      <c r="A1" s="284" t="s">
        <v>574</v>
      </c>
      <c r="B1" s="286" t="s">
        <v>575</v>
      </c>
      <c r="C1" s="288" t="s">
        <v>576</v>
      </c>
      <c r="D1" s="288"/>
      <c r="E1" s="288"/>
      <c r="F1" s="288"/>
      <c r="G1" s="289" t="s">
        <v>577</v>
      </c>
      <c r="H1" s="289"/>
      <c r="I1" s="289"/>
      <c r="J1" s="65" t="s">
        <v>568</v>
      </c>
      <c r="K1" s="66" t="s">
        <v>578</v>
      </c>
      <c r="M1" s="142" t="s">
        <v>579</v>
      </c>
    </row>
    <row r="2" spans="1:13" ht="30.75" thickBot="1" x14ac:dyDescent="0.3">
      <c r="A2" s="285"/>
      <c r="B2" s="287"/>
      <c r="C2" s="67" t="s">
        <v>580</v>
      </c>
      <c r="D2" s="67" t="s">
        <v>581</v>
      </c>
      <c r="E2" s="67" t="s">
        <v>582</v>
      </c>
      <c r="F2" s="67" t="s">
        <v>565</v>
      </c>
      <c r="G2" s="68" t="s">
        <v>583</v>
      </c>
      <c r="H2" s="68" t="s">
        <v>584</v>
      </c>
      <c r="I2" s="68" t="s">
        <v>585</v>
      </c>
      <c r="J2" s="69" t="s">
        <v>586</v>
      </c>
      <c r="K2" s="70" t="s">
        <v>587</v>
      </c>
      <c r="M2" s="143" t="s">
        <v>587</v>
      </c>
    </row>
    <row r="3" spans="1:13" ht="30.75" customHeight="1" x14ac:dyDescent="0.25">
      <c r="A3" s="290">
        <v>1</v>
      </c>
      <c r="B3" s="71" t="s">
        <v>588</v>
      </c>
      <c r="C3" s="72">
        <v>289.88</v>
      </c>
      <c r="D3" s="72">
        <v>370.28</v>
      </c>
      <c r="E3" s="72">
        <v>463.77</v>
      </c>
      <c r="F3" s="72">
        <v>37.97</v>
      </c>
      <c r="G3" s="72">
        <v>689.77</v>
      </c>
      <c r="H3" s="72">
        <v>0</v>
      </c>
      <c r="I3" s="72">
        <v>463.77</v>
      </c>
      <c r="J3" s="72">
        <v>124.45</v>
      </c>
      <c r="K3" s="264">
        <f>SUM(C6:J6)</f>
        <v>1</v>
      </c>
      <c r="M3" s="279">
        <v>2</v>
      </c>
    </row>
    <row r="4" spans="1:13" ht="30.75" customHeight="1" x14ac:dyDescent="0.25">
      <c r="A4" s="290"/>
      <c r="B4" s="73" t="s">
        <v>589</v>
      </c>
      <c r="C4" s="74">
        <f>C3/'PRODUTIVIDADE IN 05-2017'!$A$12</f>
        <v>0.24156666666666665</v>
      </c>
      <c r="D4" s="74">
        <f>D3/'PRODUTIVIDADE IN 05-2017'!$E$12</f>
        <v>0.14811199999999999</v>
      </c>
      <c r="E4" s="74">
        <f>E3/'PRODUTIVIDADE IN 05-2017'!$I$12</f>
        <v>0.30918000000000001</v>
      </c>
      <c r="F4" s="74">
        <f>F3/'PRODUTIVIDADE IN 05-2017'!$K$12</f>
        <v>0.12656666666666666</v>
      </c>
      <c r="G4" s="74">
        <f>G3/'PRODUTIVIDADE IN 05-2017'!$A$16</f>
        <v>0.25547037037037035</v>
      </c>
      <c r="H4" s="74">
        <f>H3/'PRODUTIVIDADE IN 05-2017'!$C$16</f>
        <v>0</v>
      </c>
      <c r="I4" s="74">
        <f>I3/'PRODUTIVIDADE IN 05-2017'!$E$16</f>
        <v>4.6376999999999998E-3</v>
      </c>
      <c r="J4" s="267">
        <f>J3/'PRODUTIVIDADE IN 05-2017'!$G$16</f>
        <v>0.32750000000000001</v>
      </c>
      <c r="K4" s="265"/>
      <c r="M4" s="279"/>
    </row>
    <row r="5" spans="1:13" ht="30.75" customHeight="1" x14ac:dyDescent="0.25">
      <c r="A5" s="290"/>
      <c r="B5" s="73" t="s">
        <v>590</v>
      </c>
      <c r="C5" s="269">
        <f>SUM(C4:F4)</f>
        <v>0.82542533333333323</v>
      </c>
      <c r="D5" s="270"/>
      <c r="E5" s="270"/>
      <c r="F5" s="271"/>
      <c r="G5" s="269">
        <f>SUM(G4:I4)</f>
        <v>0.26010807037037037</v>
      </c>
      <c r="H5" s="270"/>
      <c r="I5" s="271"/>
      <c r="J5" s="268"/>
      <c r="K5" s="265"/>
      <c r="M5" s="279"/>
    </row>
    <row r="6" spans="1:13" ht="30.75" customHeight="1" x14ac:dyDescent="0.25">
      <c r="A6" s="291"/>
      <c r="B6" s="73" t="s">
        <v>591</v>
      </c>
      <c r="C6" s="272">
        <v>1</v>
      </c>
      <c r="D6" s="273"/>
      <c r="E6" s="273"/>
      <c r="F6" s="274"/>
      <c r="G6" s="272">
        <v>0</v>
      </c>
      <c r="H6" s="273"/>
      <c r="I6" s="274"/>
      <c r="J6" s="75">
        <v>0</v>
      </c>
      <c r="K6" s="266"/>
      <c r="M6" s="279"/>
    </row>
    <row r="7" spans="1:13" ht="30.75" customHeight="1" x14ac:dyDescent="0.25">
      <c r="A7" s="306">
        <v>2</v>
      </c>
      <c r="B7" s="76" t="s">
        <v>592</v>
      </c>
      <c r="C7" s="77">
        <v>752.85</v>
      </c>
      <c r="D7" s="77">
        <v>0</v>
      </c>
      <c r="E7" s="77">
        <v>503.59</v>
      </c>
      <c r="F7" s="77">
        <v>42.73</v>
      </c>
      <c r="G7" s="77">
        <v>111.61</v>
      </c>
      <c r="H7" s="77">
        <v>189.6</v>
      </c>
      <c r="I7" s="77">
        <v>616.6</v>
      </c>
      <c r="J7" s="77">
        <v>84</v>
      </c>
      <c r="K7" s="295">
        <f>SUM(C10:J10)</f>
        <v>1</v>
      </c>
      <c r="M7" s="277">
        <v>2</v>
      </c>
    </row>
    <row r="8" spans="1:13" ht="30.75" customHeight="1" x14ac:dyDescent="0.25">
      <c r="A8" s="307"/>
      <c r="B8" s="76" t="s">
        <v>589</v>
      </c>
      <c r="C8" s="77">
        <f>C7/'PRODUTIVIDADE IN 05-2017'!$A$12</f>
        <v>0.62737500000000002</v>
      </c>
      <c r="D8" s="77">
        <f>D7/'PRODUTIVIDADE IN 05-2017'!$E$12</f>
        <v>0</v>
      </c>
      <c r="E8" s="77">
        <f>E7/'PRODUTIVIDADE IN 05-2017'!$I$12</f>
        <v>0.33572666666666667</v>
      </c>
      <c r="F8" s="77">
        <f>F7/'PRODUTIVIDADE IN 05-2017'!$K$12</f>
        <v>0.14243333333333333</v>
      </c>
      <c r="G8" s="77">
        <f>G7/'PRODUTIVIDADE IN 05-2017'!$A$16</f>
        <v>4.133703703703704E-2</v>
      </c>
      <c r="H8" s="77">
        <f>H7/'PRODUTIVIDADE IN 05-2017'!$C$16</f>
        <v>2.1066666666666668E-2</v>
      </c>
      <c r="I8" s="77">
        <f>I7/'PRODUTIVIDADE IN 05-2017'!$E$16</f>
        <v>6.1660000000000005E-3</v>
      </c>
      <c r="J8" s="298">
        <f>J7/'PRODUTIVIDADE IN 05-2017'!$G$16</f>
        <v>0.22105263157894736</v>
      </c>
      <c r="K8" s="296"/>
      <c r="M8" s="277"/>
    </row>
    <row r="9" spans="1:13" ht="30.75" customHeight="1" x14ac:dyDescent="0.25">
      <c r="A9" s="307"/>
      <c r="B9" s="76" t="s">
        <v>590</v>
      </c>
      <c r="C9" s="300">
        <f>SUM(C8:F8)</f>
        <v>1.1055350000000002</v>
      </c>
      <c r="D9" s="301"/>
      <c r="E9" s="301"/>
      <c r="F9" s="302"/>
      <c r="G9" s="300">
        <f>SUM(G8:I8)</f>
        <v>6.8569703703703716E-2</v>
      </c>
      <c r="H9" s="301"/>
      <c r="I9" s="302"/>
      <c r="J9" s="299"/>
      <c r="K9" s="296"/>
      <c r="M9" s="277"/>
    </row>
    <row r="10" spans="1:13" ht="30.75" customHeight="1" x14ac:dyDescent="0.25">
      <c r="A10" s="308"/>
      <c r="B10" s="76" t="s">
        <v>591</v>
      </c>
      <c r="C10" s="303">
        <v>1</v>
      </c>
      <c r="D10" s="304"/>
      <c r="E10" s="304"/>
      <c r="F10" s="305"/>
      <c r="G10" s="303">
        <v>0</v>
      </c>
      <c r="H10" s="304"/>
      <c r="I10" s="305"/>
      <c r="J10" s="78">
        <v>0</v>
      </c>
      <c r="K10" s="297"/>
      <c r="M10" s="277"/>
    </row>
    <row r="11" spans="1:13" ht="30.75" customHeight="1" x14ac:dyDescent="0.25">
      <c r="A11" s="292">
        <v>3</v>
      </c>
      <c r="B11" s="73" t="s">
        <v>593</v>
      </c>
      <c r="C11" s="74">
        <v>1120.1600000000001</v>
      </c>
      <c r="D11" s="74">
        <v>195</v>
      </c>
      <c r="E11" s="74">
        <v>35</v>
      </c>
      <c r="F11" s="74">
        <v>97.84</v>
      </c>
      <c r="G11" s="74">
        <v>265</v>
      </c>
      <c r="H11" s="74">
        <v>1350</v>
      </c>
      <c r="I11" s="74">
        <v>13079</v>
      </c>
      <c r="J11" s="74">
        <v>352</v>
      </c>
      <c r="K11" s="264">
        <f>SUM(C14:J14)</f>
        <v>2</v>
      </c>
      <c r="M11" s="280">
        <v>3</v>
      </c>
    </row>
    <row r="12" spans="1:13" ht="30.75" customHeight="1" x14ac:dyDescent="0.25">
      <c r="A12" s="293"/>
      <c r="B12" s="73" t="s">
        <v>589</v>
      </c>
      <c r="C12" s="74">
        <f>C11/'PRODUTIVIDADE IN 05-2017'!$A$12</f>
        <v>0.93346666666666678</v>
      </c>
      <c r="D12" s="74">
        <f>D11/'PRODUTIVIDADE IN 05-2017'!$E$12</f>
        <v>7.8E-2</v>
      </c>
      <c r="E12" s="74">
        <f>E11/'PRODUTIVIDADE IN 05-2017'!$I$12</f>
        <v>2.3333333333333334E-2</v>
      </c>
      <c r="F12" s="74">
        <f>F11/'PRODUTIVIDADE IN 05-2017'!$K$12</f>
        <v>0.32613333333333333</v>
      </c>
      <c r="G12" s="74">
        <f>G11/'PRODUTIVIDADE IN 05-2017'!$A$16</f>
        <v>9.8148148148148151E-2</v>
      </c>
      <c r="H12" s="74">
        <f>H11/'PRODUTIVIDADE IN 05-2017'!$C$16</f>
        <v>0.15</v>
      </c>
      <c r="I12" s="74">
        <f>I11/'PRODUTIVIDADE IN 05-2017'!$E$16</f>
        <v>0.13078999999999999</v>
      </c>
      <c r="J12" s="267">
        <f>J11/'PRODUTIVIDADE IN 05-2017'!$G$16</f>
        <v>0.9263157894736842</v>
      </c>
      <c r="K12" s="265"/>
      <c r="M12" s="280"/>
    </row>
    <row r="13" spans="1:13" ht="30.75" customHeight="1" x14ac:dyDescent="0.25">
      <c r="A13" s="293"/>
      <c r="B13" s="73" t="s">
        <v>590</v>
      </c>
      <c r="C13" s="269">
        <f>SUM(C12:F12)</f>
        <v>1.3609333333333336</v>
      </c>
      <c r="D13" s="270"/>
      <c r="E13" s="270"/>
      <c r="F13" s="271"/>
      <c r="G13" s="269">
        <f>SUM(G12:I12)</f>
        <v>0.37893814814814814</v>
      </c>
      <c r="H13" s="270"/>
      <c r="I13" s="271"/>
      <c r="J13" s="268"/>
      <c r="K13" s="265"/>
      <c r="M13" s="280"/>
    </row>
    <row r="14" spans="1:13" ht="30.75" customHeight="1" x14ac:dyDescent="0.25">
      <c r="A14" s="294"/>
      <c r="B14" s="73" t="s">
        <v>591</v>
      </c>
      <c r="C14" s="272">
        <v>1</v>
      </c>
      <c r="D14" s="273"/>
      <c r="E14" s="273"/>
      <c r="F14" s="274"/>
      <c r="G14" s="272">
        <v>0</v>
      </c>
      <c r="H14" s="273"/>
      <c r="I14" s="274"/>
      <c r="J14" s="75">
        <v>1</v>
      </c>
      <c r="K14" s="266"/>
      <c r="M14" s="280"/>
    </row>
    <row r="15" spans="1:13" ht="30.75" customHeight="1" x14ac:dyDescent="0.25">
      <c r="A15" s="309">
        <v>4</v>
      </c>
      <c r="B15" s="79" t="s">
        <v>594</v>
      </c>
      <c r="C15" s="80">
        <v>1342.52</v>
      </c>
      <c r="D15" s="80">
        <v>295.2</v>
      </c>
      <c r="E15" s="80">
        <v>184.61</v>
      </c>
      <c r="F15" s="80">
        <v>182.73</v>
      </c>
      <c r="G15" s="80">
        <v>558</v>
      </c>
      <c r="H15" s="80">
        <v>3253</v>
      </c>
      <c r="I15" s="80">
        <v>55457</v>
      </c>
      <c r="J15" s="80">
        <v>305.02999999999997</v>
      </c>
      <c r="K15" s="312">
        <f>SUM(C18:J18)</f>
        <v>4</v>
      </c>
      <c r="M15" s="275">
        <v>4</v>
      </c>
    </row>
    <row r="16" spans="1:13" ht="30.75" customHeight="1" x14ac:dyDescent="0.25">
      <c r="A16" s="310"/>
      <c r="B16" s="76" t="s">
        <v>589</v>
      </c>
      <c r="C16" s="77">
        <f>C15/'PRODUTIVIDADE IN 05-2017'!$A$12</f>
        <v>1.1187666666666667</v>
      </c>
      <c r="D16" s="77">
        <f>D15/'PRODUTIVIDADE IN 05-2017'!$E$12</f>
        <v>0.11807999999999999</v>
      </c>
      <c r="E16" s="77">
        <f>E15/'PRODUTIVIDADE IN 05-2017'!$I$12</f>
        <v>0.12307333333333334</v>
      </c>
      <c r="F16" s="77">
        <f>F15/'PRODUTIVIDADE IN 05-2017'!$K$12</f>
        <v>0.60909999999999997</v>
      </c>
      <c r="G16" s="77">
        <f>G15/'PRODUTIVIDADE IN 05-2017'!$A$16</f>
        <v>0.20666666666666667</v>
      </c>
      <c r="H16" s="77">
        <f>H15/'PRODUTIVIDADE IN 05-2017'!$C$16</f>
        <v>0.36144444444444446</v>
      </c>
      <c r="I16" s="77">
        <f>I15/'PRODUTIVIDADE IN 05-2017'!$E$16</f>
        <v>0.55457000000000001</v>
      </c>
      <c r="J16" s="298">
        <f>J15/'PRODUTIVIDADE IN 05-2017'!$G$16</f>
        <v>0.80271052631578943</v>
      </c>
      <c r="K16" s="313"/>
      <c r="M16" s="275"/>
    </row>
    <row r="17" spans="1:13" ht="30.75" customHeight="1" x14ac:dyDescent="0.25">
      <c r="A17" s="310"/>
      <c r="B17" s="76" t="s">
        <v>590</v>
      </c>
      <c r="C17" s="300">
        <f>SUM(C16:F16)</f>
        <v>1.96902</v>
      </c>
      <c r="D17" s="301"/>
      <c r="E17" s="301"/>
      <c r="F17" s="302"/>
      <c r="G17" s="300">
        <f>SUM(G16:I16)</f>
        <v>1.122681111111111</v>
      </c>
      <c r="H17" s="301"/>
      <c r="I17" s="302"/>
      <c r="J17" s="299"/>
      <c r="K17" s="313"/>
      <c r="M17" s="275"/>
    </row>
    <row r="18" spans="1:13" ht="30.75" customHeight="1" x14ac:dyDescent="0.25">
      <c r="A18" s="311"/>
      <c r="B18" s="76" t="s">
        <v>591</v>
      </c>
      <c r="C18" s="303">
        <v>2</v>
      </c>
      <c r="D18" s="304"/>
      <c r="E18" s="304"/>
      <c r="F18" s="305"/>
      <c r="G18" s="303">
        <v>1</v>
      </c>
      <c r="H18" s="304"/>
      <c r="I18" s="305"/>
      <c r="J18" s="78">
        <v>1</v>
      </c>
      <c r="K18" s="314"/>
      <c r="M18" s="275"/>
    </row>
    <row r="19" spans="1:13" ht="30.75" customHeight="1" x14ac:dyDescent="0.25">
      <c r="A19" s="343">
        <v>5</v>
      </c>
      <c r="B19" s="73" t="s">
        <v>595</v>
      </c>
      <c r="C19" s="74">
        <v>840.02</v>
      </c>
      <c r="D19" s="74">
        <v>144</v>
      </c>
      <c r="E19" s="74">
        <v>365</v>
      </c>
      <c r="F19" s="74">
        <v>92.98</v>
      </c>
      <c r="G19" s="74">
        <v>15</v>
      </c>
      <c r="H19" s="74">
        <v>360</v>
      </c>
      <c r="I19" s="74">
        <v>4397</v>
      </c>
      <c r="J19" s="74">
        <v>101</v>
      </c>
      <c r="K19" s="281">
        <f>SUM(C22:J22)</f>
        <v>1</v>
      </c>
      <c r="M19" s="276">
        <v>2</v>
      </c>
    </row>
    <row r="20" spans="1:13" ht="30.75" customHeight="1" x14ac:dyDescent="0.25">
      <c r="A20" s="344"/>
      <c r="B20" s="73" t="s">
        <v>589</v>
      </c>
      <c r="C20" s="74">
        <f>C19/'PRODUTIVIDADE IN 05-2017'!$A$12</f>
        <v>0.70001666666666662</v>
      </c>
      <c r="D20" s="74">
        <f>D19/'PRODUTIVIDADE IN 05-2017'!$E$12</f>
        <v>5.7599999999999998E-2</v>
      </c>
      <c r="E20" s="74">
        <f>E19/'PRODUTIVIDADE IN 05-2017'!$I$12</f>
        <v>0.24333333333333335</v>
      </c>
      <c r="F20" s="74">
        <f>F19/'PRODUTIVIDADE IN 05-2017'!$K$12</f>
        <v>0.30993333333333334</v>
      </c>
      <c r="G20" s="74">
        <f>G19/'PRODUTIVIDADE IN 05-2017'!$A$16</f>
        <v>5.5555555555555558E-3</v>
      </c>
      <c r="H20" s="74">
        <f>H19/'PRODUTIVIDADE IN 05-2017'!$C$16</f>
        <v>0.04</v>
      </c>
      <c r="I20" s="74">
        <f>I19/'PRODUTIVIDADE IN 05-2017'!$E$16</f>
        <v>4.3970000000000002E-2</v>
      </c>
      <c r="J20" s="267">
        <f>J19/'PRODUTIVIDADE IN 05-2017'!$G$16</f>
        <v>0.26578947368421052</v>
      </c>
      <c r="K20" s="282"/>
      <c r="M20" s="276"/>
    </row>
    <row r="21" spans="1:13" ht="30.75" customHeight="1" x14ac:dyDescent="0.25">
      <c r="A21" s="344"/>
      <c r="B21" s="73" t="s">
        <v>590</v>
      </c>
      <c r="C21" s="269">
        <f>SUM(C20:F20)</f>
        <v>1.3108833333333334</v>
      </c>
      <c r="D21" s="270"/>
      <c r="E21" s="270"/>
      <c r="F21" s="271"/>
      <c r="G21" s="269">
        <f>SUM(G20:I20)</f>
        <v>8.9525555555555553E-2</v>
      </c>
      <c r="H21" s="270"/>
      <c r="I21" s="271"/>
      <c r="J21" s="268"/>
      <c r="K21" s="282"/>
      <c r="M21" s="276"/>
    </row>
    <row r="22" spans="1:13" ht="30.75" customHeight="1" x14ac:dyDescent="0.25">
      <c r="A22" s="345"/>
      <c r="B22" s="73" t="s">
        <v>591</v>
      </c>
      <c r="C22" s="272">
        <v>1</v>
      </c>
      <c r="D22" s="273"/>
      <c r="E22" s="273"/>
      <c r="F22" s="274"/>
      <c r="G22" s="272">
        <v>0</v>
      </c>
      <c r="H22" s="273"/>
      <c r="I22" s="274"/>
      <c r="J22" s="75">
        <v>0</v>
      </c>
      <c r="K22" s="283"/>
      <c r="M22" s="276"/>
    </row>
    <row r="23" spans="1:13" ht="30.75" customHeight="1" x14ac:dyDescent="0.25">
      <c r="A23" s="309">
        <v>6</v>
      </c>
      <c r="B23" s="79" t="s">
        <v>596</v>
      </c>
      <c r="C23" s="80">
        <v>1687.02</v>
      </c>
      <c r="D23" s="80">
        <v>72</v>
      </c>
      <c r="E23" s="80">
        <v>228</v>
      </c>
      <c r="F23" s="80">
        <v>98.98</v>
      </c>
      <c r="G23" s="80">
        <v>459</v>
      </c>
      <c r="H23" s="80">
        <v>1390</v>
      </c>
      <c r="I23" s="80">
        <v>3619</v>
      </c>
      <c r="J23" s="80">
        <v>120</v>
      </c>
      <c r="K23" s="312">
        <f>SUM(C26:J26)</f>
        <v>2</v>
      </c>
      <c r="M23" s="278">
        <v>4</v>
      </c>
    </row>
    <row r="24" spans="1:13" ht="30.75" customHeight="1" x14ac:dyDescent="0.25">
      <c r="A24" s="310"/>
      <c r="B24" s="76" t="s">
        <v>589</v>
      </c>
      <c r="C24" s="77">
        <f>C23/'PRODUTIVIDADE IN 05-2017'!$A$12</f>
        <v>1.40585</v>
      </c>
      <c r="D24" s="77">
        <f>D23/'PRODUTIVIDADE IN 05-2017'!$E$12</f>
        <v>2.8799999999999999E-2</v>
      </c>
      <c r="E24" s="77">
        <f>E23/'PRODUTIVIDADE IN 05-2017'!$I$12</f>
        <v>0.152</v>
      </c>
      <c r="F24" s="77">
        <f>F23/'PRODUTIVIDADE IN 05-2017'!$K$12</f>
        <v>0.32993333333333336</v>
      </c>
      <c r="G24" s="77">
        <f>G23/'PRODUTIVIDADE IN 05-2017'!$A$16</f>
        <v>0.17</v>
      </c>
      <c r="H24" s="77">
        <f>H23/'PRODUTIVIDADE IN 05-2017'!$C$16</f>
        <v>0.15444444444444444</v>
      </c>
      <c r="I24" s="77">
        <f>I23/'PRODUTIVIDADE IN 05-2017'!$E$16</f>
        <v>3.619E-2</v>
      </c>
      <c r="J24" s="298">
        <f>J23/'PRODUTIVIDADE IN 05-2017'!$G$16</f>
        <v>0.31578947368421051</v>
      </c>
      <c r="K24" s="313"/>
      <c r="M24" s="278"/>
    </row>
    <row r="25" spans="1:13" ht="30.75" customHeight="1" x14ac:dyDescent="0.25">
      <c r="A25" s="310"/>
      <c r="B25" s="76" t="s">
        <v>590</v>
      </c>
      <c r="C25" s="300">
        <f>SUM(C24:F24)</f>
        <v>1.9165833333333333</v>
      </c>
      <c r="D25" s="301"/>
      <c r="E25" s="301"/>
      <c r="F25" s="302"/>
      <c r="G25" s="300">
        <f>SUM(G24:I24)</f>
        <v>0.36063444444444442</v>
      </c>
      <c r="H25" s="301"/>
      <c r="I25" s="302"/>
      <c r="J25" s="299"/>
      <c r="K25" s="313"/>
      <c r="M25" s="278"/>
    </row>
    <row r="26" spans="1:13" ht="30.75" customHeight="1" x14ac:dyDescent="0.25">
      <c r="A26" s="311"/>
      <c r="B26" s="76" t="s">
        <v>591</v>
      </c>
      <c r="C26" s="303">
        <v>2</v>
      </c>
      <c r="D26" s="304"/>
      <c r="E26" s="304"/>
      <c r="F26" s="305"/>
      <c r="G26" s="303">
        <v>0</v>
      </c>
      <c r="H26" s="304"/>
      <c r="I26" s="305"/>
      <c r="J26" s="78">
        <v>0</v>
      </c>
      <c r="K26" s="314"/>
      <c r="M26" s="278"/>
    </row>
    <row r="27" spans="1:13" ht="30.75" customHeight="1" x14ac:dyDescent="0.25">
      <c r="A27" s="315">
        <v>7</v>
      </c>
      <c r="B27" s="73" t="s">
        <v>597</v>
      </c>
      <c r="C27" s="74">
        <v>1089.5</v>
      </c>
      <c r="D27" s="74">
        <v>160</v>
      </c>
      <c r="E27" s="74">
        <v>152</v>
      </c>
      <c r="F27" s="74">
        <v>130.5</v>
      </c>
      <c r="G27" s="74">
        <v>152.5</v>
      </c>
      <c r="H27" s="74">
        <v>2500</v>
      </c>
      <c r="I27" s="74">
        <v>1570</v>
      </c>
      <c r="J27" s="74">
        <v>212</v>
      </c>
      <c r="K27" s="264">
        <f>SUM(C30:J30)</f>
        <v>3</v>
      </c>
      <c r="M27" s="279">
        <v>3</v>
      </c>
    </row>
    <row r="28" spans="1:13" ht="30.75" customHeight="1" x14ac:dyDescent="0.25">
      <c r="A28" s="290"/>
      <c r="B28" s="73" t="s">
        <v>589</v>
      </c>
      <c r="C28" s="74">
        <f>C27/'PRODUTIVIDADE IN 05-2017'!$A$12</f>
        <v>0.90791666666666671</v>
      </c>
      <c r="D28" s="74">
        <f>D27/'PRODUTIVIDADE IN 05-2017'!$E$12</f>
        <v>6.4000000000000001E-2</v>
      </c>
      <c r="E28" s="74">
        <f>E27/'PRODUTIVIDADE IN 05-2017'!$I$12</f>
        <v>0.10133333333333333</v>
      </c>
      <c r="F28" s="74">
        <f>F27/'PRODUTIVIDADE IN 05-2017'!$K$12</f>
        <v>0.435</v>
      </c>
      <c r="G28" s="74">
        <f>G27/'PRODUTIVIDADE IN 05-2017'!$A$16</f>
        <v>5.648148148148148E-2</v>
      </c>
      <c r="H28" s="74">
        <f>H27/'PRODUTIVIDADE IN 05-2017'!$C$16</f>
        <v>0.27777777777777779</v>
      </c>
      <c r="I28" s="74">
        <f>I27/'PRODUTIVIDADE IN 05-2017'!$E$16</f>
        <v>1.5699999999999999E-2</v>
      </c>
      <c r="J28" s="267">
        <f>J27/'PRODUTIVIDADE IN 05-2017'!$G$16</f>
        <v>0.55789473684210522</v>
      </c>
      <c r="K28" s="265"/>
      <c r="M28" s="279"/>
    </row>
    <row r="29" spans="1:13" ht="30.75" customHeight="1" x14ac:dyDescent="0.25">
      <c r="A29" s="290"/>
      <c r="B29" s="73" t="s">
        <v>590</v>
      </c>
      <c r="C29" s="269">
        <f>SUM(C28:F28)</f>
        <v>1.5082500000000001</v>
      </c>
      <c r="D29" s="270"/>
      <c r="E29" s="270"/>
      <c r="F29" s="271"/>
      <c r="G29" s="269">
        <f>SUM(G28:I28)</f>
        <v>0.34995925925925925</v>
      </c>
      <c r="H29" s="270"/>
      <c r="I29" s="271"/>
      <c r="J29" s="268"/>
      <c r="K29" s="265"/>
      <c r="M29" s="279"/>
    </row>
    <row r="30" spans="1:13" ht="30.75" customHeight="1" x14ac:dyDescent="0.25">
      <c r="A30" s="291"/>
      <c r="B30" s="73" t="s">
        <v>591</v>
      </c>
      <c r="C30" s="272">
        <v>2</v>
      </c>
      <c r="D30" s="273"/>
      <c r="E30" s="273"/>
      <c r="F30" s="274"/>
      <c r="G30" s="272">
        <v>0</v>
      </c>
      <c r="H30" s="273"/>
      <c r="I30" s="274"/>
      <c r="J30" s="75">
        <v>1</v>
      </c>
      <c r="K30" s="266"/>
      <c r="M30" s="279"/>
    </row>
    <row r="31" spans="1:13" ht="30.75" customHeight="1" x14ac:dyDescent="0.25">
      <c r="A31" s="309">
        <v>8</v>
      </c>
      <c r="B31" s="79" t="s">
        <v>598</v>
      </c>
      <c r="C31" s="80">
        <v>687.73</v>
      </c>
      <c r="D31" s="80">
        <v>43</v>
      </c>
      <c r="E31" s="80">
        <v>134.47999999999999</v>
      </c>
      <c r="F31" s="80">
        <v>24.46</v>
      </c>
      <c r="G31" s="80">
        <v>86</v>
      </c>
      <c r="H31" s="80">
        <v>1050</v>
      </c>
      <c r="I31" s="80">
        <v>4166.67</v>
      </c>
      <c r="J31" s="80">
        <v>145.19999999999999</v>
      </c>
      <c r="K31" s="295">
        <f>SUM(C34:J34)</f>
        <v>1</v>
      </c>
      <c r="M31" s="278">
        <v>1</v>
      </c>
    </row>
    <row r="32" spans="1:13" ht="30.75" customHeight="1" x14ac:dyDescent="0.25">
      <c r="A32" s="310"/>
      <c r="B32" s="76" t="s">
        <v>589</v>
      </c>
      <c r="C32" s="77">
        <f>C31/'PRODUTIVIDADE IN 05-2017'!$A$12</f>
        <v>0.57310833333333333</v>
      </c>
      <c r="D32" s="77">
        <f>D31/'PRODUTIVIDADE IN 05-2017'!$E$12</f>
        <v>1.72E-2</v>
      </c>
      <c r="E32" s="77">
        <f>E31/'PRODUTIVIDADE IN 05-2017'!$I$12</f>
        <v>8.9653333333333321E-2</v>
      </c>
      <c r="F32" s="77">
        <f>F31/'PRODUTIVIDADE IN 05-2017'!$K$12</f>
        <v>8.1533333333333333E-2</v>
      </c>
      <c r="G32" s="77">
        <f>G31/'PRODUTIVIDADE IN 05-2017'!$A$16</f>
        <v>3.1851851851851853E-2</v>
      </c>
      <c r="H32" s="77">
        <f>H31/'PRODUTIVIDADE IN 05-2017'!$C$16</f>
        <v>0.11666666666666667</v>
      </c>
      <c r="I32" s="77">
        <f>I31/'PRODUTIVIDADE IN 05-2017'!$E$16</f>
        <v>4.1666700000000001E-2</v>
      </c>
      <c r="J32" s="298">
        <f>J31/'PRODUTIVIDADE IN 05-2017'!$G$16</f>
        <v>0.38210526315789473</v>
      </c>
      <c r="K32" s="296"/>
      <c r="M32" s="278"/>
    </row>
    <row r="33" spans="1:13" ht="30.75" customHeight="1" x14ac:dyDescent="0.25">
      <c r="A33" s="310"/>
      <c r="B33" s="76" t="s">
        <v>590</v>
      </c>
      <c r="C33" s="300">
        <f>SUM(C32:F32)</f>
        <v>0.76149500000000003</v>
      </c>
      <c r="D33" s="301"/>
      <c r="E33" s="301"/>
      <c r="F33" s="302"/>
      <c r="G33" s="300">
        <f>SUM(G32:I32)</f>
        <v>0.19018521851851852</v>
      </c>
      <c r="H33" s="301"/>
      <c r="I33" s="302"/>
      <c r="J33" s="299"/>
      <c r="K33" s="296"/>
      <c r="M33" s="278"/>
    </row>
    <row r="34" spans="1:13" ht="30.75" customHeight="1" x14ac:dyDescent="0.25">
      <c r="A34" s="311"/>
      <c r="B34" s="76" t="s">
        <v>591</v>
      </c>
      <c r="C34" s="303">
        <v>1</v>
      </c>
      <c r="D34" s="304"/>
      <c r="E34" s="304"/>
      <c r="F34" s="305"/>
      <c r="G34" s="303">
        <v>0</v>
      </c>
      <c r="H34" s="304"/>
      <c r="I34" s="305"/>
      <c r="J34" s="78">
        <v>0</v>
      </c>
      <c r="K34" s="297"/>
      <c r="M34" s="278"/>
    </row>
    <row r="35" spans="1:13" ht="60" hidden="1" x14ac:dyDescent="0.25">
      <c r="A35" s="284" t="s">
        <v>574</v>
      </c>
      <c r="B35" s="286" t="s">
        <v>575</v>
      </c>
      <c r="C35" s="288" t="s">
        <v>576</v>
      </c>
      <c r="D35" s="288"/>
      <c r="E35" s="288"/>
      <c r="F35" s="288"/>
      <c r="G35" s="289" t="s">
        <v>577</v>
      </c>
      <c r="H35" s="289"/>
      <c r="I35" s="289"/>
      <c r="J35" s="65" t="s">
        <v>568</v>
      </c>
      <c r="K35" s="66" t="s">
        <v>578</v>
      </c>
      <c r="M35" s="145"/>
    </row>
    <row r="36" spans="1:13" ht="30.75" hidden="1" thickBot="1" x14ac:dyDescent="0.3">
      <c r="A36" s="285"/>
      <c r="B36" s="287"/>
      <c r="C36" s="67" t="s">
        <v>580</v>
      </c>
      <c r="D36" s="67" t="s">
        <v>581</v>
      </c>
      <c r="E36" s="67" t="s">
        <v>582</v>
      </c>
      <c r="F36" s="67" t="s">
        <v>565</v>
      </c>
      <c r="G36" s="68" t="s">
        <v>583</v>
      </c>
      <c r="H36" s="68" t="s">
        <v>584</v>
      </c>
      <c r="I36" s="68" t="s">
        <v>585</v>
      </c>
      <c r="J36" s="69" t="s">
        <v>586</v>
      </c>
      <c r="K36" s="70" t="s">
        <v>587</v>
      </c>
      <c r="M36" s="145"/>
    </row>
    <row r="37" spans="1:13" ht="30.75" customHeight="1" x14ac:dyDescent="0.25">
      <c r="A37" s="292">
        <v>9</v>
      </c>
      <c r="B37" s="73" t="s">
        <v>599</v>
      </c>
      <c r="C37" s="74">
        <v>683.73</v>
      </c>
      <c r="D37" s="74">
        <v>145.94</v>
      </c>
      <c r="E37" s="74">
        <v>168.92</v>
      </c>
      <c r="F37" s="74">
        <v>54.27</v>
      </c>
      <c r="G37" s="74">
        <v>154</v>
      </c>
      <c r="H37" s="74">
        <v>6000</v>
      </c>
      <c r="I37" s="74">
        <v>36000</v>
      </c>
      <c r="J37" s="74">
        <v>151</v>
      </c>
      <c r="K37" s="281">
        <f>SUM(C40:J40)</f>
        <v>2</v>
      </c>
      <c r="M37" s="280">
        <v>2</v>
      </c>
    </row>
    <row r="38" spans="1:13" ht="30.75" customHeight="1" x14ac:dyDescent="0.25">
      <c r="A38" s="293"/>
      <c r="B38" s="73" t="s">
        <v>589</v>
      </c>
      <c r="C38" s="74">
        <f>C37/'PRODUTIVIDADE IN 05-2017'!$A$12</f>
        <v>0.56977500000000003</v>
      </c>
      <c r="D38" s="74">
        <f>D37/'PRODUTIVIDADE IN 05-2017'!$E$12</f>
        <v>5.8375999999999997E-2</v>
      </c>
      <c r="E38" s="74">
        <f>E37/'PRODUTIVIDADE IN 05-2017'!$I$12</f>
        <v>0.11261333333333333</v>
      </c>
      <c r="F38" s="74">
        <f>F37/'PRODUTIVIDADE IN 05-2017'!$K$12</f>
        <v>0.18090000000000001</v>
      </c>
      <c r="G38" s="74">
        <f>G37/'PRODUTIVIDADE IN 05-2017'!$A$16</f>
        <v>5.7037037037037039E-2</v>
      </c>
      <c r="H38" s="74">
        <f>H37/'PRODUTIVIDADE IN 05-2017'!$C$16</f>
        <v>0.66666666666666663</v>
      </c>
      <c r="I38" s="74">
        <f>I37/'PRODUTIVIDADE IN 05-2017'!$E$16</f>
        <v>0.36</v>
      </c>
      <c r="J38" s="267">
        <f>J37/'PRODUTIVIDADE IN 05-2017'!$G$16</f>
        <v>0.39736842105263159</v>
      </c>
      <c r="K38" s="282"/>
      <c r="M38" s="280"/>
    </row>
    <row r="39" spans="1:13" ht="30.75" customHeight="1" x14ac:dyDescent="0.25">
      <c r="A39" s="293"/>
      <c r="B39" s="73" t="s">
        <v>590</v>
      </c>
      <c r="C39" s="269">
        <f>SUM(C38:F38)</f>
        <v>0.92166433333333342</v>
      </c>
      <c r="D39" s="270"/>
      <c r="E39" s="270"/>
      <c r="F39" s="271"/>
      <c r="G39" s="269">
        <f>SUM(G38:I38)</f>
        <v>1.0837037037037036</v>
      </c>
      <c r="H39" s="270"/>
      <c r="I39" s="271"/>
      <c r="J39" s="268"/>
      <c r="K39" s="282"/>
      <c r="M39" s="280"/>
    </row>
    <row r="40" spans="1:13" ht="30.75" customHeight="1" x14ac:dyDescent="0.25">
      <c r="A40" s="294"/>
      <c r="B40" s="73" t="s">
        <v>591</v>
      </c>
      <c r="C40" s="272">
        <v>1</v>
      </c>
      <c r="D40" s="273"/>
      <c r="E40" s="273"/>
      <c r="F40" s="274"/>
      <c r="G40" s="272">
        <v>1</v>
      </c>
      <c r="H40" s="273"/>
      <c r="I40" s="274"/>
      <c r="J40" s="75">
        <v>0</v>
      </c>
      <c r="K40" s="283"/>
      <c r="M40" s="280"/>
    </row>
    <row r="41" spans="1:13" ht="30.75" customHeight="1" x14ac:dyDescent="0.25">
      <c r="A41" s="306">
        <v>10</v>
      </c>
      <c r="B41" s="79" t="s">
        <v>600</v>
      </c>
      <c r="C41" s="80">
        <v>1156</v>
      </c>
      <c r="D41" s="80">
        <v>0</v>
      </c>
      <c r="E41" s="80">
        <v>545</v>
      </c>
      <c r="F41" s="80">
        <v>103</v>
      </c>
      <c r="G41" s="80">
        <v>425</v>
      </c>
      <c r="H41" s="80">
        <v>6840</v>
      </c>
      <c r="I41" s="80">
        <v>207</v>
      </c>
      <c r="J41" s="80">
        <v>139</v>
      </c>
      <c r="K41" s="312">
        <f>SUM(C44:J44)</f>
        <v>3</v>
      </c>
      <c r="M41" s="275">
        <v>3</v>
      </c>
    </row>
    <row r="42" spans="1:13" ht="30.75" customHeight="1" x14ac:dyDescent="0.25">
      <c r="A42" s="307"/>
      <c r="B42" s="76" t="s">
        <v>589</v>
      </c>
      <c r="C42" s="77">
        <f>C41/'PRODUTIVIDADE IN 05-2017'!$A$12</f>
        <v>0.96333333333333337</v>
      </c>
      <c r="D42" s="77">
        <f>D41/'PRODUTIVIDADE IN 05-2017'!$E$12</f>
        <v>0</v>
      </c>
      <c r="E42" s="77">
        <f>E41/'PRODUTIVIDADE IN 05-2017'!$I$12</f>
        <v>0.36333333333333334</v>
      </c>
      <c r="F42" s="77">
        <f>F41/'PRODUTIVIDADE IN 05-2017'!$K$12</f>
        <v>0.34333333333333332</v>
      </c>
      <c r="G42" s="77">
        <f>G41/'PRODUTIVIDADE IN 05-2017'!$A$16</f>
        <v>0.15740740740740741</v>
      </c>
      <c r="H42" s="77">
        <f>H41/'PRODUTIVIDADE IN 05-2017'!$C$16</f>
        <v>0.76</v>
      </c>
      <c r="I42" s="77">
        <f>I41/'PRODUTIVIDADE IN 05-2017'!$E$16</f>
        <v>2.0699999999999998E-3</v>
      </c>
      <c r="J42" s="298">
        <f>J41/'PRODUTIVIDADE IN 05-2017'!$G$16</f>
        <v>0.36578947368421055</v>
      </c>
      <c r="K42" s="313"/>
      <c r="M42" s="275"/>
    </row>
    <row r="43" spans="1:13" ht="30.75" customHeight="1" x14ac:dyDescent="0.25">
      <c r="A43" s="307"/>
      <c r="B43" s="76" t="s">
        <v>590</v>
      </c>
      <c r="C43" s="300">
        <f>SUM(C42:F42)</f>
        <v>1.67</v>
      </c>
      <c r="D43" s="301"/>
      <c r="E43" s="301"/>
      <c r="F43" s="302"/>
      <c r="G43" s="300">
        <f>SUM(G42:I42)</f>
        <v>0.91947740740740747</v>
      </c>
      <c r="H43" s="301"/>
      <c r="I43" s="302"/>
      <c r="J43" s="299"/>
      <c r="K43" s="313"/>
      <c r="M43" s="275"/>
    </row>
    <row r="44" spans="1:13" ht="30.75" customHeight="1" x14ac:dyDescent="0.25">
      <c r="A44" s="308"/>
      <c r="B44" s="76" t="s">
        <v>591</v>
      </c>
      <c r="C44" s="303">
        <v>2</v>
      </c>
      <c r="D44" s="304"/>
      <c r="E44" s="304"/>
      <c r="F44" s="305"/>
      <c r="G44" s="303">
        <v>1</v>
      </c>
      <c r="H44" s="304"/>
      <c r="I44" s="305"/>
      <c r="J44" s="78">
        <v>0</v>
      </c>
      <c r="K44" s="314"/>
      <c r="M44" s="275"/>
    </row>
    <row r="45" spans="1:13" ht="30.75" customHeight="1" x14ac:dyDescent="0.25">
      <c r="A45" s="316">
        <v>11</v>
      </c>
      <c r="B45" s="73" t="s">
        <v>601</v>
      </c>
      <c r="C45" s="74">
        <v>424.9</v>
      </c>
      <c r="D45" s="74">
        <v>31.62</v>
      </c>
      <c r="E45" s="74">
        <v>18.3</v>
      </c>
      <c r="F45" s="74">
        <v>52</v>
      </c>
      <c r="G45" s="74">
        <v>158</v>
      </c>
      <c r="H45" s="74">
        <v>133</v>
      </c>
      <c r="I45" s="74">
        <v>2133.7399999999998</v>
      </c>
      <c r="J45" s="74">
        <v>57.45</v>
      </c>
      <c r="K45" s="281">
        <f>SUM(C48:J48)</f>
        <v>1</v>
      </c>
      <c r="M45" s="276">
        <v>1</v>
      </c>
    </row>
    <row r="46" spans="1:13" ht="30.75" customHeight="1" x14ac:dyDescent="0.25">
      <c r="A46" s="317"/>
      <c r="B46" s="73" t="s">
        <v>589</v>
      </c>
      <c r="C46" s="74">
        <f>C45/'PRODUTIVIDADE IN 05-2017'!$A$12</f>
        <v>0.35408333333333331</v>
      </c>
      <c r="D46" s="74">
        <f>D45/'PRODUTIVIDADE IN 05-2017'!$E$12</f>
        <v>1.2648000000000001E-2</v>
      </c>
      <c r="E46" s="74">
        <f>E45/'PRODUTIVIDADE IN 05-2017'!$I$12</f>
        <v>1.2200000000000001E-2</v>
      </c>
      <c r="F46" s="74">
        <f>F45/'PRODUTIVIDADE IN 05-2017'!$K$12</f>
        <v>0.17333333333333334</v>
      </c>
      <c r="G46" s="74">
        <f>G45/'PRODUTIVIDADE IN 05-2017'!$A$16</f>
        <v>5.8518518518518518E-2</v>
      </c>
      <c r="H46" s="74">
        <f>H45/'PRODUTIVIDADE IN 05-2017'!$C$16</f>
        <v>1.4777777777777779E-2</v>
      </c>
      <c r="I46" s="74">
        <f>I45/'PRODUTIVIDADE IN 05-2017'!$E$16</f>
        <v>2.1337399999999999E-2</v>
      </c>
      <c r="J46" s="267">
        <f>J45/'PRODUTIVIDADE IN 05-2017'!$G$16</f>
        <v>0.15118421052631581</v>
      </c>
      <c r="K46" s="282"/>
      <c r="M46" s="276"/>
    </row>
    <row r="47" spans="1:13" ht="30.75" customHeight="1" x14ac:dyDescent="0.25">
      <c r="A47" s="317"/>
      <c r="B47" s="73" t="s">
        <v>590</v>
      </c>
      <c r="C47" s="269">
        <f>SUM(C46:F46)</f>
        <v>0.55226466666666663</v>
      </c>
      <c r="D47" s="270"/>
      <c r="E47" s="270"/>
      <c r="F47" s="271"/>
      <c r="G47" s="269">
        <f>SUM(G46:I46)</f>
        <v>9.463369629629631E-2</v>
      </c>
      <c r="H47" s="270"/>
      <c r="I47" s="271"/>
      <c r="J47" s="268"/>
      <c r="K47" s="282"/>
      <c r="M47" s="276"/>
    </row>
    <row r="48" spans="1:13" ht="30.75" customHeight="1" x14ac:dyDescent="0.25">
      <c r="A48" s="318"/>
      <c r="B48" s="73" t="s">
        <v>591</v>
      </c>
      <c r="C48" s="272">
        <v>1</v>
      </c>
      <c r="D48" s="273"/>
      <c r="E48" s="273"/>
      <c r="F48" s="274"/>
      <c r="G48" s="272">
        <v>0</v>
      </c>
      <c r="H48" s="273"/>
      <c r="I48" s="274"/>
      <c r="J48" s="75">
        <v>0</v>
      </c>
      <c r="K48" s="283"/>
      <c r="M48" s="276"/>
    </row>
    <row r="49" spans="1:13" ht="30.75" customHeight="1" x14ac:dyDescent="0.25">
      <c r="A49" s="309">
        <v>12</v>
      </c>
      <c r="B49" s="79" t="s">
        <v>602</v>
      </c>
      <c r="C49" s="80">
        <v>917.34</v>
      </c>
      <c r="D49" s="80">
        <v>53.49</v>
      </c>
      <c r="E49" s="80">
        <v>92.29</v>
      </c>
      <c r="F49" s="80">
        <v>48.95</v>
      </c>
      <c r="G49" s="80">
        <v>304.3</v>
      </c>
      <c r="H49" s="80">
        <v>4590</v>
      </c>
      <c r="I49" s="80">
        <v>8303</v>
      </c>
      <c r="J49" s="80">
        <v>429.4</v>
      </c>
      <c r="K49" s="295">
        <f>SUM(C52:J52)</f>
        <v>3</v>
      </c>
      <c r="M49" s="278">
        <v>4</v>
      </c>
    </row>
    <row r="50" spans="1:13" ht="30.75" customHeight="1" x14ac:dyDescent="0.25">
      <c r="A50" s="310"/>
      <c r="B50" s="76" t="s">
        <v>589</v>
      </c>
      <c r="C50" s="77">
        <f>C49/'PRODUTIVIDADE IN 05-2017'!$A$12</f>
        <v>0.76445000000000007</v>
      </c>
      <c r="D50" s="77">
        <f>D49/'PRODUTIVIDADE IN 05-2017'!$E$12</f>
        <v>2.1396000000000002E-2</v>
      </c>
      <c r="E50" s="77">
        <f>E49/'PRODUTIVIDADE IN 05-2017'!$I$12</f>
        <v>6.1526666666666674E-2</v>
      </c>
      <c r="F50" s="77">
        <f>F49/'PRODUTIVIDADE IN 05-2017'!$K$12</f>
        <v>0.16316666666666668</v>
      </c>
      <c r="G50" s="77">
        <f>G49/'PRODUTIVIDADE IN 05-2017'!$A$16</f>
        <v>0.11270370370370371</v>
      </c>
      <c r="H50" s="77">
        <f>H49/'PRODUTIVIDADE IN 05-2017'!$C$16</f>
        <v>0.51</v>
      </c>
      <c r="I50" s="77">
        <f>I49/'PRODUTIVIDADE IN 05-2017'!$E$16</f>
        <v>8.3030000000000007E-2</v>
      </c>
      <c r="J50" s="298">
        <f>J49/'PRODUTIVIDADE IN 05-2017'!$G$16</f>
        <v>1.1299999999999999</v>
      </c>
      <c r="K50" s="296"/>
      <c r="M50" s="278"/>
    </row>
    <row r="51" spans="1:13" ht="30.75" customHeight="1" x14ac:dyDescent="0.25">
      <c r="A51" s="310"/>
      <c r="B51" s="76" t="s">
        <v>590</v>
      </c>
      <c r="C51" s="300">
        <f>SUM(C50:F50)</f>
        <v>1.0105393333333335</v>
      </c>
      <c r="D51" s="301"/>
      <c r="E51" s="301"/>
      <c r="F51" s="302"/>
      <c r="G51" s="300">
        <f>SUM(G50:I50)</f>
        <v>0.70573370370370381</v>
      </c>
      <c r="H51" s="301"/>
      <c r="I51" s="302"/>
      <c r="J51" s="299"/>
      <c r="K51" s="296"/>
      <c r="M51" s="278"/>
    </row>
    <row r="52" spans="1:13" ht="30.75" customHeight="1" x14ac:dyDescent="0.25">
      <c r="A52" s="311"/>
      <c r="B52" s="76" t="s">
        <v>591</v>
      </c>
      <c r="C52" s="303">
        <v>1</v>
      </c>
      <c r="D52" s="304"/>
      <c r="E52" s="304"/>
      <c r="F52" s="305"/>
      <c r="G52" s="303">
        <v>1</v>
      </c>
      <c r="H52" s="304"/>
      <c r="I52" s="305"/>
      <c r="J52" s="78">
        <v>1</v>
      </c>
      <c r="K52" s="297"/>
      <c r="M52" s="278"/>
    </row>
    <row r="53" spans="1:13" ht="30.75" customHeight="1" x14ac:dyDescent="0.25">
      <c r="A53" s="292">
        <v>13</v>
      </c>
      <c r="B53" s="73" t="s">
        <v>603</v>
      </c>
      <c r="C53" s="74">
        <v>1192.6500000000001</v>
      </c>
      <c r="D53" s="74">
        <v>59.41</v>
      </c>
      <c r="E53" s="74">
        <v>821.93</v>
      </c>
      <c r="F53" s="74">
        <v>181.93</v>
      </c>
      <c r="G53" s="74">
        <v>269.99</v>
      </c>
      <c r="H53" s="74">
        <v>1169.1400000000001</v>
      </c>
      <c r="I53" s="74">
        <v>694.89</v>
      </c>
      <c r="J53" s="74">
        <v>150</v>
      </c>
      <c r="K53" s="264">
        <f>SUM(C56:J56)</f>
        <v>2</v>
      </c>
      <c r="M53" s="279">
        <v>4</v>
      </c>
    </row>
    <row r="54" spans="1:13" ht="30.75" customHeight="1" x14ac:dyDescent="0.25">
      <c r="A54" s="293"/>
      <c r="B54" s="73" t="s">
        <v>589</v>
      </c>
      <c r="C54" s="74">
        <f>C53/'PRODUTIVIDADE IN 05-2017'!$A$12</f>
        <v>0.99387500000000006</v>
      </c>
      <c r="D54" s="74">
        <f>D53/'PRODUTIVIDADE IN 05-2017'!$E$12</f>
        <v>2.3763999999999997E-2</v>
      </c>
      <c r="E54" s="74">
        <f>E53/'PRODUTIVIDADE IN 05-2017'!$I$12</f>
        <v>0.54795333333333329</v>
      </c>
      <c r="F54" s="74">
        <f>F53/'PRODUTIVIDADE IN 05-2017'!$K$12</f>
        <v>0.60643333333333338</v>
      </c>
      <c r="G54" s="74">
        <f>G53/'PRODUTIVIDADE IN 05-2017'!$A$16</f>
        <v>9.9996296296296305E-2</v>
      </c>
      <c r="H54" s="74">
        <f>H53/'PRODUTIVIDADE IN 05-2017'!$C$16</f>
        <v>0.12990444444444446</v>
      </c>
      <c r="I54" s="74">
        <f>I53/'PRODUTIVIDADE IN 05-2017'!$E$16</f>
        <v>6.9489E-3</v>
      </c>
      <c r="J54" s="267">
        <f>J53/'PRODUTIVIDADE IN 05-2017'!$G$16</f>
        <v>0.39473684210526316</v>
      </c>
      <c r="K54" s="265"/>
      <c r="M54" s="279"/>
    </row>
    <row r="55" spans="1:13" ht="30.75" customHeight="1" x14ac:dyDescent="0.25">
      <c r="A55" s="293"/>
      <c r="B55" s="73" t="s">
        <v>590</v>
      </c>
      <c r="C55" s="269">
        <f>SUM(C54:F54)</f>
        <v>2.1720256666666664</v>
      </c>
      <c r="D55" s="270"/>
      <c r="E55" s="270"/>
      <c r="F55" s="271"/>
      <c r="G55" s="269">
        <f>SUM(G54:I54)</f>
        <v>0.23684964074074077</v>
      </c>
      <c r="H55" s="270"/>
      <c r="I55" s="271"/>
      <c r="J55" s="268"/>
      <c r="K55" s="265"/>
      <c r="M55" s="279"/>
    </row>
    <row r="56" spans="1:13" ht="30.75" customHeight="1" x14ac:dyDescent="0.25">
      <c r="A56" s="294"/>
      <c r="B56" s="73" t="s">
        <v>591</v>
      </c>
      <c r="C56" s="272">
        <v>2</v>
      </c>
      <c r="D56" s="273"/>
      <c r="E56" s="273"/>
      <c r="F56" s="274"/>
      <c r="G56" s="272">
        <v>0</v>
      </c>
      <c r="H56" s="273"/>
      <c r="I56" s="274"/>
      <c r="J56" s="75">
        <v>0</v>
      </c>
      <c r="K56" s="266"/>
      <c r="M56" s="279"/>
    </row>
    <row r="57" spans="1:13" ht="30.75" customHeight="1" x14ac:dyDescent="0.25">
      <c r="A57" s="309">
        <v>14</v>
      </c>
      <c r="B57" s="79" t="s">
        <v>604</v>
      </c>
      <c r="C57" s="80">
        <v>1182.04</v>
      </c>
      <c r="D57" s="80">
        <v>0</v>
      </c>
      <c r="E57" s="80">
        <v>506</v>
      </c>
      <c r="F57" s="80">
        <v>96.96</v>
      </c>
      <c r="G57" s="80">
        <v>670</v>
      </c>
      <c r="H57" s="80">
        <v>5570</v>
      </c>
      <c r="I57" s="80">
        <v>9960</v>
      </c>
      <c r="J57" s="80">
        <v>132.16999999999999</v>
      </c>
      <c r="K57" s="312">
        <f>SUM(C60:J60)</f>
        <v>3</v>
      </c>
      <c r="M57" s="275">
        <v>4</v>
      </c>
    </row>
    <row r="58" spans="1:13" ht="30.75" customHeight="1" x14ac:dyDescent="0.25">
      <c r="A58" s="310"/>
      <c r="B58" s="76" t="s">
        <v>589</v>
      </c>
      <c r="C58" s="77">
        <f>C57/'PRODUTIVIDADE IN 05-2017'!$A$12</f>
        <v>0.98503333333333332</v>
      </c>
      <c r="D58" s="77">
        <f>D57/'PRODUTIVIDADE IN 05-2017'!$E$12</f>
        <v>0</v>
      </c>
      <c r="E58" s="77">
        <f>E57/'PRODUTIVIDADE IN 05-2017'!$I$12</f>
        <v>0.33733333333333332</v>
      </c>
      <c r="F58" s="77">
        <f>F57/'PRODUTIVIDADE IN 05-2017'!$K$12</f>
        <v>0.32319999999999999</v>
      </c>
      <c r="G58" s="77">
        <f>G57/'PRODUTIVIDADE IN 05-2017'!$A$16</f>
        <v>0.24814814814814815</v>
      </c>
      <c r="H58" s="77">
        <f>H57/'PRODUTIVIDADE IN 05-2017'!$C$16</f>
        <v>0.61888888888888893</v>
      </c>
      <c r="I58" s="77">
        <f>I57/'PRODUTIVIDADE IN 05-2017'!$E$16</f>
        <v>9.9599999999999994E-2</v>
      </c>
      <c r="J58" s="298">
        <f>J57/'PRODUTIVIDADE IN 05-2017'!$G$16</f>
        <v>0.34781578947368419</v>
      </c>
      <c r="K58" s="313"/>
      <c r="M58" s="275"/>
    </row>
    <row r="59" spans="1:13" ht="30.75" customHeight="1" x14ac:dyDescent="0.25">
      <c r="A59" s="310"/>
      <c r="B59" s="76" t="s">
        <v>590</v>
      </c>
      <c r="C59" s="300">
        <f>SUM(C58:F58)</f>
        <v>1.6455666666666666</v>
      </c>
      <c r="D59" s="301"/>
      <c r="E59" s="301"/>
      <c r="F59" s="302"/>
      <c r="G59" s="300">
        <f>SUM(G58:I58)</f>
        <v>0.96663703703703707</v>
      </c>
      <c r="H59" s="301"/>
      <c r="I59" s="302"/>
      <c r="J59" s="299"/>
      <c r="K59" s="313"/>
      <c r="M59" s="275"/>
    </row>
    <row r="60" spans="1:13" ht="30.75" customHeight="1" x14ac:dyDescent="0.25">
      <c r="A60" s="311"/>
      <c r="B60" s="76" t="s">
        <v>591</v>
      </c>
      <c r="C60" s="303">
        <v>2</v>
      </c>
      <c r="D60" s="304"/>
      <c r="E60" s="304"/>
      <c r="F60" s="305"/>
      <c r="G60" s="303">
        <v>1</v>
      </c>
      <c r="H60" s="304"/>
      <c r="I60" s="305"/>
      <c r="J60" s="78">
        <v>0</v>
      </c>
      <c r="K60" s="314"/>
      <c r="M60" s="275"/>
    </row>
    <row r="61" spans="1:13" ht="30.75" customHeight="1" x14ac:dyDescent="0.25">
      <c r="A61" s="292">
        <v>15</v>
      </c>
      <c r="B61" s="73" t="s">
        <v>605</v>
      </c>
      <c r="C61" s="74">
        <v>1529</v>
      </c>
      <c r="D61" s="74">
        <v>52</v>
      </c>
      <c r="E61" s="74">
        <v>119.26</v>
      </c>
      <c r="F61" s="74">
        <v>73.17</v>
      </c>
      <c r="G61" s="168">
        <v>0</v>
      </c>
      <c r="H61" s="74">
        <v>6612</v>
      </c>
      <c r="I61" s="74">
        <v>9086</v>
      </c>
      <c r="J61" s="74">
        <v>89.41</v>
      </c>
      <c r="K61" s="264">
        <f>SUM(C64:J64)</f>
        <v>3</v>
      </c>
      <c r="M61" s="279">
        <v>4</v>
      </c>
    </row>
    <row r="62" spans="1:13" ht="30.75" customHeight="1" x14ac:dyDescent="0.25">
      <c r="A62" s="293"/>
      <c r="B62" s="73" t="s">
        <v>589</v>
      </c>
      <c r="C62" s="74">
        <f>C61/'PRODUTIVIDADE IN 05-2017'!$A$12</f>
        <v>1.2741666666666667</v>
      </c>
      <c r="D62" s="74">
        <f>D61/'PRODUTIVIDADE IN 05-2017'!$E$12</f>
        <v>2.0799999999999999E-2</v>
      </c>
      <c r="E62" s="74">
        <f>E61/'PRODUTIVIDADE IN 05-2017'!$I$12</f>
        <v>7.950666666666667E-2</v>
      </c>
      <c r="F62" s="74">
        <f>F61/'PRODUTIVIDADE IN 05-2017'!$K$12</f>
        <v>0.24390000000000001</v>
      </c>
      <c r="G62" s="74">
        <f>G61/'PRODUTIVIDADE IN 05-2017'!$A$16</f>
        <v>0</v>
      </c>
      <c r="H62" s="74">
        <f>H61/'PRODUTIVIDADE IN 05-2017'!$C$16</f>
        <v>0.73466666666666669</v>
      </c>
      <c r="I62" s="74">
        <f>I61/'PRODUTIVIDADE IN 05-2017'!$E$16</f>
        <v>9.0859999999999996E-2</v>
      </c>
      <c r="J62" s="267">
        <f>J61/'PRODUTIVIDADE IN 05-2017'!$G$16</f>
        <v>0.23528947368421052</v>
      </c>
      <c r="K62" s="265"/>
      <c r="M62" s="279"/>
    </row>
    <row r="63" spans="1:13" ht="30.75" customHeight="1" x14ac:dyDescent="0.25">
      <c r="A63" s="293"/>
      <c r="B63" s="73" t="s">
        <v>590</v>
      </c>
      <c r="C63" s="269">
        <f>SUM(C62:F62)</f>
        <v>1.6183733333333332</v>
      </c>
      <c r="D63" s="270"/>
      <c r="E63" s="270"/>
      <c r="F63" s="271"/>
      <c r="G63" s="269">
        <f>SUM(G62:I62)</f>
        <v>0.82552666666666674</v>
      </c>
      <c r="H63" s="270"/>
      <c r="I63" s="271"/>
      <c r="J63" s="268"/>
      <c r="K63" s="265"/>
      <c r="M63" s="279"/>
    </row>
    <row r="64" spans="1:13" ht="30.75" customHeight="1" x14ac:dyDescent="0.25">
      <c r="A64" s="294"/>
      <c r="B64" s="73" t="s">
        <v>591</v>
      </c>
      <c r="C64" s="272">
        <v>2</v>
      </c>
      <c r="D64" s="273"/>
      <c r="E64" s="273"/>
      <c r="F64" s="274"/>
      <c r="G64" s="272">
        <v>1</v>
      </c>
      <c r="H64" s="273"/>
      <c r="I64" s="274"/>
      <c r="J64" s="75">
        <v>0</v>
      </c>
      <c r="K64" s="266"/>
      <c r="M64" s="279"/>
    </row>
    <row r="65" spans="1:13" ht="30.75" customHeight="1" x14ac:dyDescent="0.25">
      <c r="A65" s="309">
        <v>16</v>
      </c>
      <c r="B65" s="79" t="s">
        <v>606</v>
      </c>
      <c r="C65" s="80">
        <v>366.42</v>
      </c>
      <c r="D65" s="80">
        <v>170.46</v>
      </c>
      <c r="E65" s="80">
        <v>215</v>
      </c>
      <c r="F65" s="80">
        <v>54.27</v>
      </c>
      <c r="G65" s="80">
        <v>154</v>
      </c>
      <c r="H65" s="80">
        <v>328</v>
      </c>
      <c r="I65" s="80">
        <v>1541</v>
      </c>
      <c r="J65" s="80">
        <v>237</v>
      </c>
      <c r="K65" s="295">
        <f>SUM(C68:J68)</f>
        <v>2</v>
      </c>
      <c r="M65" s="275">
        <v>2</v>
      </c>
    </row>
    <row r="66" spans="1:13" ht="30.75" customHeight="1" x14ac:dyDescent="0.25">
      <c r="A66" s="310"/>
      <c r="B66" s="76" t="s">
        <v>589</v>
      </c>
      <c r="C66" s="77">
        <f>C65/'PRODUTIVIDADE IN 05-2017'!$A$12</f>
        <v>0.30535000000000001</v>
      </c>
      <c r="D66" s="77">
        <f>D65/'PRODUTIVIDADE IN 05-2017'!$E$12</f>
        <v>6.8184000000000008E-2</v>
      </c>
      <c r="E66" s="77">
        <f>E65/'PRODUTIVIDADE IN 05-2017'!$I$12</f>
        <v>0.14333333333333334</v>
      </c>
      <c r="F66" s="77">
        <f>F65/'PRODUTIVIDADE IN 05-2017'!$K$12</f>
        <v>0.18090000000000001</v>
      </c>
      <c r="G66" s="77">
        <f>G65/'PRODUTIVIDADE IN 05-2017'!$A$16</f>
        <v>5.7037037037037039E-2</v>
      </c>
      <c r="H66" s="77">
        <f>H65/'PRODUTIVIDADE IN 05-2017'!$C$16</f>
        <v>3.6444444444444446E-2</v>
      </c>
      <c r="I66" s="77">
        <f>I65/'PRODUTIVIDADE IN 05-2017'!$E$16</f>
        <v>1.541E-2</v>
      </c>
      <c r="J66" s="298">
        <f>J65/'PRODUTIVIDADE IN 05-2017'!$G$16</f>
        <v>0.62368421052631584</v>
      </c>
      <c r="K66" s="296"/>
      <c r="M66" s="275"/>
    </row>
    <row r="67" spans="1:13" ht="30.75" customHeight="1" x14ac:dyDescent="0.25">
      <c r="A67" s="310"/>
      <c r="B67" s="76" t="s">
        <v>590</v>
      </c>
      <c r="C67" s="300">
        <f>SUM(C66:F66)</f>
        <v>0.69776733333333341</v>
      </c>
      <c r="D67" s="301"/>
      <c r="E67" s="301"/>
      <c r="F67" s="302"/>
      <c r="G67" s="300">
        <f>SUM(G66:I66)</f>
        <v>0.10889148148148148</v>
      </c>
      <c r="H67" s="301"/>
      <c r="I67" s="302"/>
      <c r="J67" s="299"/>
      <c r="K67" s="296"/>
      <c r="M67" s="275"/>
    </row>
    <row r="68" spans="1:13" ht="30.75" customHeight="1" x14ac:dyDescent="0.25">
      <c r="A68" s="311"/>
      <c r="B68" s="76" t="s">
        <v>591</v>
      </c>
      <c r="C68" s="303">
        <v>1</v>
      </c>
      <c r="D68" s="304"/>
      <c r="E68" s="304"/>
      <c r="F68" s="305"/>
      <c r="G68" s="303">
        <v>0</v>
      </c>
      <c r="H68" s="304"/>
      <c r="I68" s="305"/>
      <c r="J68" s="78">
        <v>1</v>
      </c>
      <c r="K68" s="297"/>
      <c r="M68" s="275"/>
    </row>
    <row r="69" spans="1:13" ht="60" hidden="1" x14ac:dyDescent="0.25">
      <c r="A69" s="284" t="s">
        <v>574</v>
      </c>
      <c r="B69" s="286" t="s">
        <v>575</v>
      </c>
      <c r="C69" s="288" t="s">
        <v>576</v>
      </c>
      <c r="D69" s="288"/>
      <c r="E69" s="288"/>
      <c r="F69" s="288"/>
      <c r="G69" s="289" t="s">
        <v>577</v>
      </c>
      <c r="H69" s="289"/>
      <c r="I69" s="289"/>
      <c r="J69" s="65" t="s">
        <v>568</v>
      </c>
      <c r="K69" s="66" t="s">
        <v>578</v>
      </c>
      <c r="M69" s="145"/>
    </row>
    <row r="70" spans="1:13" ht="30.75" hidden="1" thickBot="1" x14ac:dyDescent="0.3">
      <c r="A70" s="285"/>
      <c r="B70" s="287"/>
      <c r="C70" s="67" t="s">
        <v>580</v>
      </c>
      <c r="D70" s="67" t="s">
        <v>581</v>
      </c>
      <c r="E70" s="67" t="s">
        <v>582</v>
      </c>
      <c r="F70" s="67" t="s">
        <v>565</v>
      </c>
      <c r="G70" s="68" t="s">
        <v>583</v>
      </c>
      <c r="H70" s="68" t="s">
        <v>584</v>
      </c>
      <c r="I70" s="68" t="s">
        <v>585</v>
      </c>
      <c r="J70" s="69" t="s">
        <v>586</v>
      </c>
      <c r="K70" s="70" t="s">
        <v>587</v>
      </c>
      <c r="M70" s="145"/>
    </row>
    <row r="71" spans="1:13" ht="30.75" customHeight="1" x14ac:dyDescent="0.25">
      <c r="A71" s="292">
        <v>17</v>
      </c>
      <c r="B71" s="73" t="s">
        <v>607</v>
      </c>
      <c r="C71" s="74">
        <v>564.47</v>
      </c>
      <c r="D71" s="74">
        <v>57</v>
      </c>
      <c r="E71" s="74">
        <v>110</v>
      </c>
      <c r="F71" s="74">
        <v>67.53</v>
      </c>
      <c r="G71" s="74">
        <v>403</v>
      </c>
      <c r="H71" s="74">
        <v>663</v>
      </c>
      <c r="I71" s="74">
        <v>180</v>
      </c>
      <c r="J71" s="74">
        <v>70.349999999999994</v>
      </c>
      <c r="K71" s="281">
        <f>SUM(C74:J74)</f>
        <v>1</v>
      </c>
      <c r="M71" s="276">
        <v>1</v>
      </c>
    </row>
    <row r="72" spans="1:13" ht="30.75" customHeight="1" x14ac:dyDescent="0.25">
      <c r="A72" s="293"/>
      <c r="B72" s="73" t="s">
        <v>589</v>
      </c>
      <c r="C72" s="74">
        <f>C71/'PRODUTIVIDADE IN 05-2017'!$A$12</f>
        <v>0.47039166666666671</v>
      </c>
      <c r="D72" s="74">
        <f>D71/'PRODUTIVIDADE IN 05-2017'!$E$12</f>
        <v>2.2800000000000001E-2</v>
      </c>
      <c r="E72" s="74">
        <f>E71/'PRODUTIVIDADE IN 05-2017'!$I$12</f>
        <v>7.3333333333333334E-2</v>
      </c>
      <c r="F72" s="74">
        <f>F71/'PRODUTIVIDADE IN 05-2017'!$K$12</f>
        <v>0.22509999999999999</v>
      </c>
      <c r="G72" s="74">
        <f>G71/'PRODUTIVIDADE IN 05-2017'!$A$16</f>
        <v>0.14925925925925926</v>
      </c>
      <c r="H72" s="74">
        <f>H71/'PRODUTIVIDADE IN 05-2017'!$C$16</f>
        <v>7.3666666666666672E-2</v>
      </c>
      <c r="I72" s="74">
        <f>I71/'PRODUTIVIDADE IN 05-2017'!$E$16</f>
        <v>1.8E-3</v>
      </c>
      <c r="J72" s="267">
        <f>J71/'PRODUTIVIDADE IN 05-2017'!$G$16</f>
        <v>0.1851315789473684</v>
      </c>
      <c r="K72" s="282"/>
      <c r="M72" s="276"/>
    </row>
    <row r="73" spans="1:13" ht="30.75" customHeight="1" x14ac:dyDescent="0.25">
      <c r="A73" s="293"/>
      <c r="B73" s="73" t="s">
        <v>590</v>
      </c>
      <c r="C73" s="269">
        <f>SUM(C72:F72)</f>
        <v>0.79162500000000002</v>
      </c>
      <c r="D73" s="270"/>
      <c r="E73" s="270"/>
      <c r="F73" s="271"/>
      <c r="G73" s="269">
        <f>SUM(G72:I72)</f>
        <v>0.22472592592592591</v>
      </c>
      <c r="H73" s="270"/>
      <c r="I73" s="271"/>
      <c r="J73" s="268"/>
      <c r="K73" s="282"/>
      <c r="M73" s="276"/>
    </row>
    <row r="74" spans="1:13" ht="30.75" customHeight="1" x14ac:dyDescent="0.25">
      <c r="A74" s="294"/>
      <c r="B74" s="73" t="s">
        <v>591</v>
      </c>
      <c r="C74" s="272">
        <v>1</v>
      </c>
      <c r="D74" s="273"/>
      <c r="E74" s="273"/>
      <c r="F74" s="274"/>
      <c r="G74" s="272">
        <v>0</v>
      </c>
      <c r="H74" s="273"/>
      <c r="I74" s="274"/>
      <c r="J74" s="75">
        <v>0</v>
      </c>
      <c r="K74" s="283"/>
      <c r="M74" s="276"/>
    </row>
    <row r="75" spans="1:13" ht="30.75" customHeight="1" x14ac:dyDescent="0.25">
      <c r="A75" s="309">
        <v>18</v>
      </c>
      <c r="B75" s="79" t="s">
        <v>608</v>
      </c>
      <c r="C75" s="80">
        <v>1393</v>
      </c>
      <c r="D75" s="80">
        <v>51.08</v>
      </c>
      <c r="E75" s="80">
        <v>364</v>
      </c>
      <c r="F75" s="80">
        <v>70</v>
      </c>
      <c r="G75" s="80">
        <v>737</v>
      </c>
      <c r="H75" s="80">
        <v>5110.5</v>
      </c>
      <c r="I75" s="80">
        <v>2252.1</v>
      </c>
      <c r="J75" s="80">
        <v>372.8</v>
      </c>
      <c r="K75" s="312">
        <f>SUM(C78:J78)</f>
        <v>4</v>
      </c>
      <c r="M75" s="275">
        <v>5</v>
      </c>
    </row>
    <row r="76" spans="1:13" ht="30.75" customHeight="1" x14ac:dyDescent="0.25">
      <c r="A76" s="310"/>
      <c r="B76" s="76" t="s">
        <v>589</v>
      </c>
      <c r="C76" s="77">
        <f>C75/'PRODUTIVIDADE IN 05-2017'!$A$12</f>
        <v>1.1608333333333334</v>
      </c>
      <c r="D76" s="77">
        <f>D75/'PRODUTIVIDADE IN 05-2017'!$E$12</f>
        <v>2.0431999999999999E-2</v>
      </c>
      <c r="E76" s="77">
        <f>E75/'PRODUTIVIDADE IN 05-2017'!$I$12</f>
        <v>0.24266666666666667</v>
      </c>
      <c r="F76" s="77">
        <f>F75/'PRODUTIVIDADE IN 05-2017'!$K$12</f>
        <v>0.23333333333333334</v>
      </c>
      <c r="G76" s="77">
        <f>G75/'PRODUTIVIDADE IN 05-2017'!$A$16</f>
        <v>0.27296296296296296</v>
      </c>
      <c r="H76" s="77">
        <f>H75/'PRODUTIVIDADE IN 05-2017'!$C$16</f>
        <v>0.5678333333333333</v>
      </c>
      <c r="I76" s="77">
        <f>I75/'PRODUTIVIDADE IN 05-2017'!$E$16</f>
        <v>2.2520999999999999E-2</v>
      </c>
      <c r="J76" s="298">
        <f>J75/'PRODUTIVIDADE IN 05-2017'!$G$16</f>
        <v>0.9810526315789474</v>
      </c>
      <c r="K76" s="313"/>
      <c r="M76" s="275"/>
    </row>
    <row r="77" spans="1:13" ht="30.75" customHeight="1" x14ac:dyDescent="0.25">
      <c r="A77" s="310"/>
      <c r="B77" s="76" t="s">
        <v>590</v>
      </c>
      <c r="C77" s="300">
        <f>SUM(C76:F76)</f>
        <v>1.6572653333333334</v>
      </c>
      <c r="D77" s="301"/>
      <c r="E77" s="301"/>
      <c r="F77" s="302"/>
      <c r="G77" s="300">
        <f>SUM(G76:I76)</f>
        <v>0.86331729629629628</v>
      </c>
      <c r="H77" s="301"/>
      <c r="I77" s="302"/>
      <c r="J77" s="299"/>
      <c r="K77" s="313"/>
      <c r="M77" s="275"/>
    </row>
    <row r="78" spans="1:13" ht="30.75" customHeight="1" x14ac:dyDescent="0.25">
      <c r="A78" s="311"/>
      <c r="B78" s="76" t="s">
        <v>591</v>
      </c>
      <c r="C78" s="303">
        <v>2</v>
      </c>
      <c r="D78" s="304"/>
      <c r="E78" s="304"/>
      <c r="F78" s="305"/>
      <c r="G78" s="303">
        <v>1</v>
      </c>
      <c r="H78" s="304"/>
      <c r="I78" s="305"/>
      <c r="J78" s="78">
        <v>1</v>
      </c>
      <c r="K78" s="314"/>
      <c r="M78" s="275"/>
    </row>
    <row r="79" spans="1:13" ht="30.75" customHeight="1" x14ac:dyDescent="0.25">
      <c r="A79" s="292">
        <v>19</v>
      </c>
      <c r="B79" s="73" t="s">
        <v>609</v>
      </c>
      <c r="C79" s="74">
        <v>1423.78</v>
      </c>
      <c r="D79" s="74">
        <v>50</v>
      </c>
      <c r="E79" s="74">
        <v>277</v>
      </c>
      <c r="F79" s="74">
        <v>82.82</v>
      </c>
      <c r="G79" s="74">
        <v>305.25</v>
      </c>
      <c r="H79" s="74">
        <v>2560</v>
      </c>
      <c r="I79" s="74">
        <v>4504.2</v>
      </c>
      <c r="J79" s="74">
        <v>265.48</v>
      </c>
      <c r="K79" s="281">
        <f>SUM(C82:J82)</f>
        <v>3</v>
      </c>
      <c r="M79" s="276">
        <v>4</v>
      </c>
    </row>
    <row r="80" spans="1:13" ht="30.75" customHeight="1" x14ac:dyDescent="0.25">
      <c r="A80" s="293"/>
      <c r="B80" s="73" t="s">
        <v>589</v>
      </c>
      <c r="C80" s="74">
        <f>C79/'PRODUTIVIDADE IN 05-2017'!$A$12</f>
        <v>1.1864833333333333</v>
      </c>
      <c r="D80" s="74">
        <f>D79/'PRODUTIVIDADE IN 05-2017'!$E$12</f>
        <v>0.02</v>
      </c>
      <c r="E80" s="74">
        <f>E79/'PRODUTIVIDADE IN 05-2017'!$I$12</f>
        <v>0.18466666666666667</v>
      </c>
      <c r="F80" s="74">
        <f>F79/'PRODUTIVIDADE IN 05-2017'!$K$12</f>
        <v>0.27606666666666663</v>
      </c>
      <c r="G80" s="74">
        <f>G79/'PRODUTIVIDADE IN 05-2017'!$A$16</f>
        <v>0.11305555555555556</v>
      </c>
      <c r="H80" s="74">
        <f>H79/'PRODUTIVIDADE IN 05-2017'!$C$16</f>
        <v>0.28444444444444444</v>
      </c>
      <c r="I80" s="74">
        <f>I79/'PRODUTIVIDADE IN 05-2017'!$E$16</f>
        <v>4.5041999999999999E-2</v>
      </c>
      <c r="J80" s="267">
        <f>J79/'PRODUTIVIDADE IN 05-2017'!$G$16</f>
        <v>0.69863157894736849</v>
      </c>
      <c r="K80" s="282"/>
      <c r="M80" s="276"/>
    </row>
    <row r="81" spans="1:13" ht="30.75" customHeight="1" x14ac:dyDescent="0.25">
      <c r="A81" s="293"/>
      <c r="B81" s="73" t="s">
        <v>590</v>
      </c>
      <c r="C81" s="269">
        <f>SUM(C80:F80)</f>
        <v>1.6672166666666668</v>
      </c>
      <c r="D81" s="270"/>
      <c r="E81" s="270"/>
      <c r="F81" s="271"/>
      <c r="G81" s="269">
        <f>SUM(G80:I80)</f>
        <v>0.44254199999999999</v>
      </c>
      <c r="H81" s="270"/>
      <c r="I81" s="271"/>
      <c r="J81" s="268"/>
      <c r="K81" s="282"/>
      <c r="M81" s="276"/>
    </row>
    <row r="82" spans="1:13" ht="30.75" customHeight="1" x14ac:dyDescent="0.25">
      <c r="A82" s="294"/>
      <c r="B82" s="73" t="s">
        <v>591</v>
      </c>
      <c r="C82" s="272">
        <v>2</v>
      </c>
      <c r="D82" s="273"/>
      <c r="E82" s="273"/>
      <c r="F82" s="274"/>
      <c r="G82" s="272">
        <v>0</v>
      </c>
      <c r="H82" s="273"/>
      <c r="I82" s="274"/>
      <c r="J82" s="75">
        <v>1</v>
      </c>
      <c r="K82" s="283"/>
      <c r="M82" s="276"/>
    </row>
    <row r="83" spans="1:13" ht="30.75" customHeight="1" x14ac:dyDescent="0.25">
      <c r="A83" s="309">
        <v>20</v>
      </c>
      <c r="B83" s="79" t="s">
        <v>610</v>
      </c>
      <c r="C83" s="170">
        <v>959.25</v>
      </c>
      <c r="D83" s="80">
        <v>39.909999999999997</v>
      </c>
      <c r="E83" s="80">
        <v>220.08</v>
      </c>
      <c r="F83" s="80">
        <v>107.76</v>
      </c>
      <c r="G83" s="80">
        <v>2367</v>
      </c>
      <c r="H83" s="80">
        <v>720</v>
      </c>
      <c r="I83" s="80">
        <v>2176</v>
      </c>
      <c r="J83" s="80">
        <v>42.3</v>
      </c>
      <c r="K83" s="312">
        <f>SUM(C86:J86)</f>
        <v>2</v>
      </c>
      <c r="M83" s="277">
        <v>3</v>
      </c>
    </row>
    <row r="84" spans="1:13" ht="30.75" customHeight="1" x14ac:dyDescent="0.25">
      <c r="A84" s="310"/>
      <c r="B84" s="76" t="s">
        <v>589</v>
      </c>
      <c r="C84" s="77">
        <f>C83/'PRODUTIVIDADE IN 05-2017'!$A$12</f>
        <v>0.79937499999999995</v>
      </c>
      <c r="D84" s="77">
        <f>D83/'PRODUTIVIDADE IN 05-2017'!$E$12</f>
        <v>1.5963999999999999E-2</v>
      </c>
      <c r="E84" s="77">
        <f>E83/'PRODUTIVIDADE IN 05-2017'!$I$12</f>
        <v>0.14672000000000002</v>
      </c>
      <c r="F84" s="77">
        <f>F83/'PRODUTIVIDADE IN 05-2017'!$K$12</f>
        <v>0.35920000000000002</v>
      </c>
      <c r="G84" s="77">
        <f>G83/'PRODUTIVIDADE IN 05-2017'!$A$16</f>
        <v>0.87666666666666671</v>
      </c>
      <c r="H84" s="77">
        <f>H83/'PRODUTIVIDADE IN 05-2017'!$C$16</f>
        <v>0.08</v>
      </c>
      <c r="I84" s="77">
        <f>I83/'PRODUTIVIDADE IN 05-2017'!$E$16</f>
        <v>2.1760000000000002E-2</v>
      </c>
      <c r="J84" s="298">
        <f>J83/'PRODUTIVIDADE IN 05-2017'!$G$16</f>
        <v>0.1113157894736842</v>
      </c>
      <c r="K84" s="313"/>
      <c r="M84" s="277"/>
    </row>
    <row r="85" spans="1:13" ht="30.75" customHeight="1" x14ac:dyDescent="0.25">
      <c r="A85" s="310"/>
      <c r="B85" s="76" t="s">
        <v>590</v>
      </c>
      <c r="C85" s="300">
        <f>SUM(C84:F84)</f>
        <v>1.321259</v>
      </c>
      <c r="D85" s="301"/>
      <c r="E85" s="301"/>
      <c r="F85" s="302"/>
      <c r="G85" s="300">
        <f>SUM(G84:I84)</f>
        <v>0.97842666666666667</v>
      </c>
      <c r="H85" s="301"/>
      <c r="I85" s="302"/>
      <c r="J85" s="299"/>
      <c r="K85" s="313"/>
      <c r="M85" s="277"/>
    </row>
    <row r="86" spans="1:13" ht="30.75" customHeight="1" x14ac:dyDescent="0.25">
      <c r="A86" s="311"/>
      <c r="B86" s="76" t="s">
        <v>591</v>
      </c>
      <c r="C86" s="303">
        <v>1</v>
      </c>
      <c r="D86" s="304"/>
      <c r="E86" s="304"/>
      <c r="F86" s="305"/>
      <c r="G86" s="303">
        <v>1</v>
      </c>
      <c r="H86" s="304"/>
      <c r="I86" s="305"/>
      <c r="J86" s="78">
        <v>0</v>
      </c>
      <c r="K86" s="314"/>
      <c r="M86" s="277"/>
    </row>
    <row r="87" spans="1:13" ht="30.75" customHeight="1" x14ac:dyDescent="0.25">
      <c r="A87" s="292">
        <v>21</v>
      </c>
      <c r="B87" s="73" t="s">
        <v>611</v>
      </c>
      <c r="C87" s="74">
        <v>480</v>
      </c>
      <c r="D87" s="74">
        <v>35</v>
      </c>
      <c r="E87" s="74">
        <v>254</v>
      </c>
      <c r="F87" s="74">
        <v>67</v>
      </c>
      <c r="G87" s="74">
        <v>1320</v>
      </c>
      <c r="H87" s="74">
        <v>1680</v>
      </c>
      <c r="I87" s="74">
        <v>367</v>
      </c>
      <c r="J87" s="74">
        <v>150</v>
      </c>
      <c r="K87" s="281">
        <f>SUM(C90:J90)</f>
        <v>2</v>
      </c>
      <c r="M87" s="276">
        <v>2</v>
      </c>
    </row>
    <row r="88" spans="1:13" ht="30.75" customHeight="1" x14ac:dyDescent="0.25">
      <c r="A88" s="293"/>
      <c r="B88" s="73" t="s">
        <v>589</v>
      </c>
      <c r="C88" s="74">
        <f>C87/'PRODUTIVIDADE IN 05-2017'!$A$12</f>
        <v>0.4</v>
      </c>
      <c r="D88" s="74">
        <f>D87/'PRODUTIVIDADE IN 05-2017'!$E$12</f>
        <v>1.4E-2</v>
      </c>
      <c r="E88" s="74">
        <f>E87/'PRODUTIVIDADE IN 05-2017'!$I$12</f>
        <v>0.16933333333333334</v>
      </c>
      <c r="F88" s="74">
        <f>F87/'PRODUTIVIDADE IN 05-2017'!$K$12</f>
        <v>0.22333333333333333</v>
      </c>
      <c r="G88" s="74">
        <f>G87/'PRODUTIVIDADE IN 05-2017'!$A$16</f>
        <v>0.48888888888888887</v>
      </c>
      <c r="H88" s="74">
        <f>H87/'PRODUTIVIDADE IN 05-2017'!$C$16</f>
        <v>0.18666666666666668</v>
      </c>
      <c r="I88" s="74">
        <f>I87/'PRODUTIVIDADE IN 05-2017'!$E$16</f>
        <v>3.6700000000000001E-3</v>
      </c>
      <c r="J88" s="267">
        <f>J87/'PRODUTIVIDADE IN 05-2017'!$G$16</f>
        <v>0.39473684210526316</v>
      </c>
      <c r="K88" s="282"/>
      <c r="M88" s="276"/>
    </row>
    <row r="89" spans="1:13" ht="30.75" customHeight="1" x14ac:dyDescent="0.25">
      <c r="A89" s="293"/>
      <c r="B89" s="73" t="s">
        <v>590</v>
      </c>
      <c r="C89" s="269">
        <f>SUM(C88:F88)</f>
        <v>0.80666666666666664</v>
      </c>
      <c r="D89" s="270"/>
      <c r="E89" s="270"/>
      <c r="F89" s="271"/>
      <c r="G89" s="269">
        <f>SUM(G88:I88)</f>
        <v>0.67922555555555553</v>
      </c>
      <c r="H89" s="270"/>
      <c r="I89" s="271"/>
      <c r="J89" s="268"/>
      <c r="K89" s="282"/>
      <c r="M89" s="276"/>
    </row>
    <row r="90" spans="1:13" ht="30.75" customHeight="1" x14ac:dyDescent="0.25">
      <c r="A90" s="294"/>
      <c r="B90" s="73" t="s">
        <v>591</v>
      </c>
      <c r="C90" s="272">
        <v>1</v>
      </c>
      <c r="D90" s="273"/>
      <c r="E90" s="273"/>
      <c r="F90" s="274"/>
      <c r="G90" s="272">
        <v>1</v>
      </c>
      <c r="H90" s="273"/>
      <c r="I90" s="274"/>
      <c r="J90" s="75">
        <v>0</v>
      </c>
      <c r="K90" s="283"/>
      <c r="M90" s="276"/>
    </row>
    <row r="91" spans="1:13" ht="30.75" customHeight="1" x14ac:dyDescent="0.25">
      <c r="A91" s="309">
        <v>22</v>
      </c>
      <c r="B91" s="79" t="s">
        <v>612</v>
      </c>
      <c r="C91" s="80">
        <v>683.73</v>
      </c>
      <c r="D91" s="80">
        <v>22.35</v>
      </c>
      <c r="E91" s="80">
        <v>152</v>
      </c>
      <c r="F91" s="80">
        <v>54.27</v>
      </c>
      <c r="G91" s="80">
        <v>201.4</v>
      </c>
      <c r="H91" s="80">
        <v>1883.89</v>
      </c>
      <c r="I91" s="80">
        <v>7017.81</v>
      </c>
      <c r="J91" s="80">
        <v>176.23</v>
      </c>
      <c r="K91" s="295">
        <f>SUM(C94:J94)</f>
        <v>1</v>
      </c>
      <c r="M91" s="278">
        <v>2</v>
      </c>
    </row>
    <row r="92" spans="1:13" ht="30.75" customHeight="1" x14ac:dyDescent="0.25">
      <c r="A92" s="310"/>
      <c r="B92" s="76" t="s">
        <v>589</v>
      </c>
      <c r="C92" s="77">
        <f>C91/'PRODUTIVIDADE IN 05-2017'!$A$12</f>
        <v>0.56977500000000003</v>
      </c>
      <c r="D92" s="77">
        <f>D91/'PRODUTIVIDADE IN 05-2017'!$E$12</f>
        <v>8.94E-3</v>
      </c>
      <c r="E92" s="77">
        <f>E91/'PRODUTIVIDADE IN 05-2017'!$I$12</f>
        <v>0.10133333333333333</v>
      </c>
      <c r="F92" s="77">
        <f>F91/'PRODUTIVIDADE IN 05-2017'!$K$12</f>
        <v>0.18090000000000001</v>
      </c>
      <c r="G92" s="77">
        <f>G91/'PRODUTIVIDADE IN 05-2017'!$A$16</f>
        <v>7.4592592592592599E-2</v>
      </c>
      <c r="H92" s="77">
        <f>H91/'PRODUTIVIDADE IN 05-2017'!$C$16</f>
        <v>0.20932111111111112</v>
      </c>
      <c r="I92" s="77">
        <f>I91/'PRODUTIVIDADE IN 05-2017'!$E$16</f>
        <v>7.0178100000000007E-2</v>
      </c>
      <c r="J92" s="298">
        <f>J91/'PRODUTIVIDADE IN 05-2017'!$G$16</f>
        <v>0.46376315789473682</v>
      </c>
      <c r="K92" s="296"/>
      <c r="M92" s="278"/>
    </row>
    <row r="93" spans="1:13" ht="30.75" customHeight="1" x14ac:dyDescent="0.25">
      <c r="A93" s="310"/>
      <c r="B93" s="76" t="s">
        <v>590</v>
      </c>
      <c r="C93" s="300">
        <f>SUM(C92:F92)</f>
        <v>0.86094833333333343</v>
      </c>
      <c r="D93" s="301"/>
      <c r="E93" s="301"/>
      <c r="F93" s="302"/>
      <c r="G93" s="300">
        <f>SUM(G92:I92)</f>
        <v>0.35409180370370374</v>
      </c>
      <c r="H93" s="301"/>
      <c r="I93" s="302"/>
      <c r="J93" s="299"/>
      <c r="K93" s="296"/>
      <c r="M93" s="278"/>
    </row>
    <row r="94" spans="1:13" ht="30.75" customHeight="1" x14ac:dyDescent="0.25">
      <c r="A94" s="311"/>
      <c r="B94" s="76" t="s">
        <v>591</v>
      </c>
      <c r="C94" s="303">
        <v>1</v>
      </c>
      <c r="D94" s="304"/>
      <c r="E94" s="304"/>
      <c r="F94" s="305"/>
      <c r="G94" s="303">
        <v>0</v>
      </c>
      <c r="H94" s="304"/>
      <c r="I94" s="305"/>
      <c r="J94" s="78">
        <v>0</v>
      </c>
      <c r="K94" s="297"/>
      <c r="M94" s="278"/>
    </row>
    <row r="95" spans="1:13" ht="30.75" customHeight="1" x14ac:dyDescent="0.25">
      <c r="A95" s="292">
        <v>23</v>
      </c>
      <c r="B95" s="73" t="s">
        <v>613</v>
      </c>
      <c r="C95" s="74">
        <v>532</v>
      </c>
      <c r="D95" s="74">
        <v>0</v>
      </c>
      <c r="E95" s="74">
        <v>0</v>
      </c>
      <c r="F95" s="74">
        <v>8.5</v>
      </c>
      <c r="G95" s="74">
        <v>210</v>
      </c>
      <c r="H95" s="74">
        <v>0</v>
      </c>
      <c r="I95" s="74">
        <v>0</v>
      </c>
      <c r="J95" s="74">
        <v>35</v>
      </c>
      <c r="K95" s="346">
        <f>SUM(C98:J98)</f>
        <v>0</v>
      </c>
      <c r="M95" s="276">
        <v>1</v>
      </c>
    </row>
    <row r="96" spans="1:13" ht="30.75" customHeight="1" x14ac:dyDescent="0.25">
      <c r="A96" s="293"/>
      <c r="B96" s="73" t="s">
        <v>589</v>
      </c>
      <c r="C96" s="74">
        <f>C95/'PRODUTIVIDADE IN 05-2017'!$A$12</f>
        <v>0.44333333333333336</v>
      </c>
      <c r="D96" s="74">
        <f>D95/'PRODUTIVIDADE IN 05-2017'!$E$12</f>
        <v>0</v>
      </c>
      <c r="E96" s="74">
        <f>E95/'PRODUTIVIDADE IN 05-2017'!$I$12</f>
        <v>0</v>
      </c>
      <c r="F96" s="74">
        <f>F95/'PRODUTIVIDADE IN 05-2017'!$K$12</f>
        <v>2.8333333333333332E-2</v>
      </c>
      <c r="G96" s="74">
        <f>G95/'PRODUTIVIDADE IN 05-2017'!$A$16</f>
        <v>7.7777777777777779E-2</v>
      </c>
      <c r="H96" s="74">
        <f>H95/'PRODUTIVIDADE IN 05-2017'!$C$16</f>
        <v>0</v>
      </c>
      <c r="I96" s="74">
        <f>I95/'PRODUTIVIDADE IN 05-2017'!$E$16</f>
        <v>0</v>
      </c>
      <c r="J96" s="267">
        <f>J95/'PRODUTIVIDADE IN 05-2017'!$G$16</f>
        <v>9.2105263157894732E-2</v>
      </c>
      <c r="K96" s="347"/>
      <c r="M96" s="276"/>
    </row>
    <row r="97" spans="1:13" ht="30.75" customHeight="1" x14ac:dyDescent="0.25">
      <c r="A97" s="293"/>
      <c r="B97" s="73" t="s">
        <v>590</v>
      </c>
      <c r="C97" s="269">
        <f>SUM(C96:F96)</f>
        <v>0.47166666666666668</v>
      </c>
      <c r="D97" s="270"/>
      <c r="E97" s="270"/>
      <c r="F97" s="271"/>
      <c r="G97" s="269">
        <f>SUM(G96:I96)</f>
        <v>7.7777777777777779E-2</v>
      </c>
      <c r="H97" s="270"/>
      <c r="I97" s="271"/>
      <c r="J97" s="268"/>
      <c r="K97" s="347"/>
      <c r="M97" s="276"/>
    </row>
    <row r="98" spans="1:13" ht="30.75" customHeight="1" x14ac:dyDescent="0.25">
      <c r="A98" s="294"/>
      <c r="B98" s="73" t="s">
        <v>591</v>
      </c>
      <c r="C98" s="272">
        <v>0</v>
      </c>
      <c r="D98" s="273"/>
      <c r="E98" s="273"/>
      <c r="F98" s="274"/>
      <c r="G98" s="272">
        <v>0</v>
      </c>
      <c r="H98" s="273"/>
      <c r="I98" s="274"/>
      <c r="J98" s="75">
        <v>0</v>
      </c>
      <c r="K98" s="348"/>
      <c r="M98" s="276"/>
    </row>
    <row r="99" spans="1:13" ht="30.75" customHeight="1" x14ac:dyDescent="0.25">
      <c r="A99" s="319">
        <v>24</v>
      </c>
      <c r="B99" s="79" t="s">
        <v>614</v>
      </c>
      <c r="C99" s="80">
        <v>763.85</v>
      </c>
      <c r="D99" s="80"/>
      <c r="E99" s="80"/>
      <c r="F99" s="80">
        <v>76.150000000000006</v>
      </c>
      <c r="G99" s="80">
        <v>250</v>
      </c>
      <c r="H99" s="80">
        <v>3892</v>
      </c>
      <c r="I99" s="80">
        <v>19784.080000000002</v>
      </c>
      <c r="J99" s="80"/>
      <c r="K99" s="295">
        <f>SUM(C102:J102)</f>
        <v>2</v>
      </c>
      <c r="M99" s="277">
        <v>2</v>
      </c>
    </row>
    <row r="100" spans="1:13" ht="30.75" customHeight="1" x14ac:dyDescent="0.25">
      <c r="A100" s="320"/>
      <c r="B100" s="76" t="s">
        <v>589</v>
      </c>
      <c r="C100" s="77">
        <f>C99/'PRODUTIVIDADE IN 05-2017'!$A$12</f>
        <v>0.63654166666666667</v>
      </c>
      <c r="D100" s="77">
        <f>D99/'PRODUTIVIDADE IN 05-2017'!$E$12</f>
        <v>0</v>
      </c>
      <c r="E100" s="77">
        <f>E99/'PRODUTIVIDADE IN 05-2017'!$I$12</f>
        <v>0</v>
      </c>
      <c r="F100" s="77">
        <f>F99/'PRODUTIVIDADE IN 05-2017'!$K$12</f>
        <v>0.25383333333333336</v>
      </c>
      <c r="G100" s="77">
        <f>G99/'PRODUTIVIDADE IN 05-2017'!$A$16</f>
        <v>9.2592592592592587E-2</v>
      </c>
      <c r="H100" s="77">
        <f>H99/'PRODUTIVIDADE IN 05-2017'!$C$16</f>
        <v>0.43244444444444446</v>
      </c>
      <c r="I100" s="77">
        <f>I99/'PRODUTIVIDADE IN 05-2017'!$E$16</f>
        <v>0.19784080000000001</v>
      </c>
      <c r="J100" s="298">
        <f>J99/'PRODUTIVIDADE IN 05-2017'!$G$16</f>
        <v>0</v>
      </c>
      <c r="K100" s="296"/>
      <c r="M100" s="277"/>
    </row>
    <row r="101" spans="1:13" ht="30.75" customHeight="1" x14ac:dyDescent="0.25">
      <c r="A101" s="320"/>
      <c r="B101" s="76" t="s">
        <v>590</v>
      </c>
      <c r="C101" s="300">
        <f>SUM(C100:F100)</f>
        <v>0.89037500000000003</v>
      </c>
      <c r="D101" s="301"/>
      <c r="E101" s="301"/>
      <c r="F101" s="302"/>
      <c r="G101" s="300">
        <f>SUM(G100:I100)</f>
        <v>0.72287783703703712</v>
      </c>
      <c r="H101" s="301"/>
      <c r="I101" s="302"/>
      <c r="J101" s="299"/>
      <c r="K101" s="296"/>
      <c r="M101" s="277"/>
    </row>
    <row r="102" spans="1:13" ht="30.75" customHeight="1" x14ac:dyDescent="0.25">
      <c r="A102" s="321"/>
      <c r="B102" s="76" t="s">
        <v>591</v>
      </c>
      <c r="C102" s="303">
        <v>1</v>
      </c>
      <c r="D102" s="304"/>
      <c r="E102" s="304"/>
      <c r="F102" s="305"/>
      <c r="G102" s="303">
        <v>1</v>
      </c>
      <c r="H102" s="304"/>
      <c r="I102" s="305"/>
      <c r="J102" s="78">
        <v>0</v>
      </c>
      <c r="K102" s="297"/>
      <c r="M102" s="277"/>
    </row>
    <row r="103" spans="1:13" ht="60" hidden="1" x14ac:dyDescent="0.25">
      <c r="A103" s="284" t="s">
        <v>574</v>
      </c>
      <c r="B103" s="286" t="s">
        <v>575</v>
      </c>
      <c r="C103" s="288" t="s">
        <v>576</v>
      </c>
      <c r="D103" s="288"/>
      <c r="E103" s="288"/>
      <c r="F103" s="288"/>
      <c r="G103" s="289" t="s">
        <v>577</v>
      </c>
      <c r="H103" s="289"/>
      <c r="I103" s="289"/>
      <c r="J103" s="65" t="s">
        <v>568</v>
      </c>
      <c r="K103" s="66" t="s">
        <v>578</v>
      </c>
      <c r="M103" s="145"/>
    </row>
    <row r="104" spans="1:13" ht="30.75" hidden="1" thickBot="1" x14ac:dyDescent="0.3">
      <c r="A104" s="285"/>
      <c r="B104" s="287"/>
      <c r="C104" s="67" t="s">
        <v>580</v>
      </c>
      <c r="D104" s="67" t="s">
        <v>581</v>
      </c>
      <c r="E104" s="67" t="s">
        <v>582</v>
      </c>
      <c r="F104" s="67" t="s">
        <v>565</v>
      </c>
      <c r="G104" s="68" t="s">
        <v>583</v>
      </c>
      <c r="H104" s="68" t="s">
        <v>584</v>
      </c>
      <c r="I104" s="68" t="s">
        <v>585</v>
      </c>
      <c r="J104" s="69" t="s">
        <v>586</v>
      </c>
      <c r="K104" s="70" t="s">
        <v>587</v>
      </c>
      <c r="M104" s="145"/>
    </row>
    <row r="105" spans="1:13" ht="30.75" customHeight="1" x14ac:dyDescent="0.25">
      <c r="A105" s="315">
        <v>25</v>
      </c>
      <c r="B105" s="73" t="s">
        <v>615</v>
      </c>
      <c r="C105" s="74">
        <v>683.73</v>
      </c>
      <c r="D105" s="74">
        <v>0</v>
      </c>
      <c r="E105" s="74">
        <v>198.25</v>
      </c>
      <c r="F105" s="74">
        <v>60.71</v>
      </c>
      <c r="G105" s="168">
        <v>298.3</v>
      </c>
      <c r="H105" s="168">
        <v>3010</v>
      </c>
      <c r="I105" s="168">
        <v>0</v>
      </c>
      <c r="J105" s="74">
        <v>180</v>
      </c>
      <c r="K105" s="264">
        <f>SUM(C108:J108)</f>
        <v>1</v>
      </c>
      <c r="M105" s="279">
        <v>2</v>
      </c>
    </row>
    <row r="106" spans="1:13" ht="30.75" customHeight="1" x14ac:dyDescent="0.25">
      <c r="A106" s="290"/>
      <c r="B106" s="73" t="s">
        <v>589</v>
      </c>
      <c r="C106" s="74">
        <f>C105/'PRODUTIVIDADE IN 05-2017'!$A$12</f>
        <v>0.56977500000000003</v>
      </c>
      <c r="D106" s="74">
        <f>D105/'PRODUTIVIDADE IN 05-2017'!$E$12</f>
        <v>0</v>
      </c>
      <c r="E106" s="74">
        <f>E105/'PRODUTIVIDADE IN 05-2017'!$I$12</f>
        <v>0.13216666666666665</v>
      </c>
      <c r="F106" s="74">
        <f>F105/'PRODUTIVIDADE IN 05-2017'!$K$12</f>
        <v>0.20236666666666667</v>
      </c>
      <c r="G106" s="74">
        <f>G105/'PRODUTIVIDADE IN 05-2017'!$A$16</f>
        <v>0.11048148148148149</v>
      </c>
      <c r="H106" s="74">
        <f>H105/'PRODUTIVIDADE IN 05-2017'!$C$16</f>
        <v>0.33444444444444443</v>
      </c>
      <c r="I106" s="74">
        <f>I105/'PRODUTIVIDADE IN 05-2017'!$E$16</f>
        <v>0</v>
      </c>
      <c r="J106" s="267">
        <f>J105/'PRODUTIVIDADE IN 05-2017'!$G$16</f>
        <v>0.47368421052631576</v>
      </c>
      <c r="K106" s="265"/>
      <c r="M106" s="279"/>
    </row>
    <row r="107" spans="1:13" ht="30.75" customHeight="1" x14ac:dyDescent="0.25">
      <c r="A107" s="290"/>
      <c r="B107" s="73" t="s">
        <v>590</v>
      </c>
      <c r="C107" s="269">
        <f>SUM(C106:F106)</f>
        <v>0.90430833333333338</v>
      </c>
      <c r="D107" s="270"/>
      <c r="E107" s="270"/>
      <c r="F107" s="271"/>
      <c r="G107" s="269">
        <f>SUM(G106:I106)</f>
        <v>0.44492592592592595</v>
      </c>
      <c r="H107" s="270"/>
      <c r="I107" s="271"/>
      <c r="J107" s="268"/>
      <c r="K107" s="265"/>
      <c r="M107" s="279"/>
    </row>
    <row r="108" spans="1:13" ht="30.75" customHeight="1" x14ac:dyDescent="0.25">
      <c r="A108" s="291"/>
      <c r="B108" s="73" t="s">
        <v>591</v>
      </c>
      <c r="C108" s="272">
        <v>1</v>
      </c>
      <c r="D108" s="273"/>
      <c r="E108" s="273"/>
      <c r="F108" s="274"/>
      <c r="G108" s="272">
        <v>0</v>
      </c>
      <c r="H108" s="273"/>
      <c r="I108" s="274"/>
      <c r="J108" s="75">
        <v>0</v>
      </c>
      <c r="K108" s="266"/>
      <c r="M108" s="279"/>
    </row>
    <row r="109" spans="1:13" ht="30.75" customHeight="1" x14ac:dyDescent="0.25">
      <c r="A109" s="309">
        <v>26</v>
      </c>
      <c r="B109" s="79" t="s">
        <v>616</v>
      </c>
      <c r="C109" s="170">
        <v>1296</v>
      </c>
      <c r="D109" s="80">
        <v>58</v>
      </c>
      <c r="E109" s="80">
        <v>389</v>
      </c>
      <c r="F109" s="80">
        <v>150</v>
      </c>
      <c r="G109" s="80">
        <v>157.63999999999999</v>
      </c>
      <c r="H109" s="80">
        <v>3705</v>
      </c>
      <c r="I109" s="80">
        <v>27684</v>
      </c>
      <c r="J109" s="80">
        <v>265.23</v>
      </c>
      <c r="K109" s="312">
        <f>SUM(C112:J112)</f>
        <v>4</v>
      </c>
      <c r="M109" s="275">
        <v>4</v>
      </c>
    </row>
    <row r="110" spans="1:13" ht="30.75" customHeight="1" x14ac:dyDescent="0.25">
      <c r="A110" s="310"/>
      <c r="B110" s="76" t="s">
        <v>589</v>
      </c>
      <c r="C110" s="77">
        <f>C109/'PRODUTIVIDADE IN 05-2017'!$A$12</f>
        <v>1.08</v>
      </c>
      <c r="D110" s="77">
        <f>D109/'PRODUTIVIDADE IN 05-2017'!$E$12</f>
        <v>2.3199999999999998E-2</v>
      </c>
      <c r="E110" s="77">
        <f>E109/'PRODUTIVIDADE IN 05-2017'!$I$12</f>
        <v>0.25933333333333336</v>
      </c>
      <c r="F110" s="77">
        <f>F109/'PRODUTIVIDADE IN 05-2017'!$K$12</f>
        <v>0.5</v>
      </c>
      <c r="G110" s="77">
        <f>G109/'PRODUTIVIDADE IN 05-2017'!$A$16</f>
        <v>5.8385185185185179E-2</v>
      </c>
      <c r="H110" s="77">
        <f>H109/'PRODUTIVIDADE IN 05-2017'!$C$16</f>
        <v>0.41166666666666668</v>
      </c>
      <c r="I110" s="77">
        <f>I109/'PRODUTIVIDADE IN 05-2017'!$E$16</f>
        <v>0.27683999999999997</v>
      </c>
      <c r="J110" s="298">
        <f>J109/'PRODUTIVIDADE IN 05-2017'!$G$16</f>
        <v>0.69797368421052641</v>
      </c>
      <c r="K110" s="313"/>
      <c r="M110" s="275"/>
    </row>
    <row r="111" spans="1:13" ht="30.75" customHeight="1" x14ac:dyDescent="0.25">
      <c r="A111" s="310"/>
      <c r="B111" s="76" t="s">
        <v>590</v>
      </c>
      <c r="C111" s="300">
        <f>SUM(C110:F110)</f>
        <v>1.8625333333333336</v>
      </c>
      <c r="D111" s="301"/>
      <c r="E111" s="301"/>
      <c r="F111" s="302"/>
      <c r="G111" s="300">
        <f>SUM(G110:I110)</f>
        <v>0.74689185185185181</v>
      </c>
      <c r="H111" s="301"/>
      <c r="I111" s="302"/>
      <c r="J111" s="299"/>
      <c r="K111" s="313"/>
      <c r="M111" s="275"/>
    </row>
    <row r="112" spans="1:13" ht="30.75" customHeight="1" x14ac:dyDescent="0.25">
      <c r="A112" s="311"/>
      <c r="B112" s="76" t="s">
        <v>591</v>
      </c>
      <c r="C112" s="303">
        <v>2</v>
      </c>
      <c r="D112" s="304"/>
      <c r="E112" s="304"/>
      <c r="F112" s="305"/>
      <c r="G112" s="303">
        <v>1</v>
      </c>
      <c r="H112" s="304"/>
      <c r="I112" s="305"/>
      <c r="J112" s="78">
        <v>1</v>
      </c>
      <c r="K112" s="314"/>
      <c r="M112" s="275"/>
    </row>
    <row r="113" spans="1:13" ht="30.75" customHeight="1" x14ac:dyDescent="0.25">
      <c r="A113" s="292">
        <v>27</v>
      </c>
      <c r="B113" s="73" t="s">
        <v>617</v>
      </c>
      <c r="C113" s="74">
        <v>1378.73</v>
      </c>
      <c r="D113" s="74">
        <v>0</v>
      </c>
      <c r="E113" s="74">
        <v>247</v>
      </c>
      <c r="F113" s="74">
        <v>95.73</v>
      </c>
      <c r="G113" s="74">
        <v>263.60000000000002</v>
      </c>
      <c r="H113" s="74">
        <v>1975.9</v>
      </c>
      <c r="I113" s="74">
        <v>1303.26</v>
      </c>
      <c r="J113" s="74">
        <v>222.45</v>
      </c>
      <c r="K113" s="281">
        <f>SUM(C116:J116)</f>
        <v>3</v>
      </c>
      <c r="M113" s="280">
        <v>3</v>
      </c>
    </row>
    <row r="114" spans="1:13" ht="30.75" customHeight="1" x14ac:dyDescent="0.25">
      <c r="A114" s="293"/>
      <c r="B114" s="73" t="s">
        <v>589</v>
      </c>
      <c r="C114" s="74">
        <f>C113/'PRODUTIVIDADE IN 05-2017'!$A$12</f>
        <v>1.1489416666666667</v>
      </c>
      <c r="D114" s="74">
        <f>D113/'PRODUTIVIDADE IN 05-2017'!$E$12</f>
        <v>0</v>
      </c>
      <c r="E114" s="74">
        <f>E113/'PRODUTIVIDADE IN 05-2017'!$I$12</f>
        <v>0.16466666666666666</v>
      </c>
      <c r="F114" s="74">
        <f>F113/'PRODUTIVIDADE IN 05-2017'!$K$12</f>
        <v>0.31909999999999999</v>
      </c>
      <c r="G114" s="74">
        <f>G113/'PRODUTIVIDADE IN 05-2017'!$A$16</f>
        <v>9.7629629629629636E-2</v>
      </c>
      <c r="H114" s="74">
        <f>H113/'PRODUTIVIDADE IN 05-2017'!$C$16</f>
        <v>0.21954444444444446</v>
      </c>
      <c r="I114" s="74">
        <f>I113/'PRODUTIVIDADE IN 05-2017'!$E$16</f>
        <v>1.30326E-2</v>
      </c>
      <c r="J114" s="267">
        <f>J113/'PRODUTIVIDADE IN 05-2017'!$G$16</f>
        <v>0.58539473684210519</v>
      </c>
      <c r="K114" s="282"/>
      <c r="M114" s="280"/>
    </row>
    <row r="115" spans="1:13" ht="30.75" customHeight="1" x14ac:dyDescent="0.25">
      <c r="A115" s="293"/>
      <c r="B115" s="73" t="s">
        <v>590</v>
      </c>
      <c r="C115" s="269">
        <f>SUM(C114:F114)</f>
        <v>1.6327083333333334</v>
      </c>
      <c r="D115" s="270"/>
      <c r="E115" s="270"/>
      <c r="F115" s="271"/>
      <c r="G115" s="269">
        <f>SUM(G114:I114)</f>
        <v>0.33020667407407411</v>
      </c>
      <c r="H115" s="270"/>
      <c r="I115" s="271"/>
      <c r="J115" s="268"/>
      <c r="K115" s="282"/>
      <c r="M115" s="280"/>
    </row>
    <row r="116" spans="1:13" ht="30.75" customHeight="1" x14ac:dyDescent="0.25">
      <c r="A116" s="294"/>
      <c r="B116" s="73" t="s">
        <v>591</v>
      </c>
      <c r="C116" s="272">
        <v>2</v>
      </c>
      <c r="D116" s="273"/>
      <c r="E116" s="273"/>
      <c r="F116" s="274"/>
      <c r="G116" s="272">
        <v>0</v>
      </c>
      <c r="H116" s="273"/>
      <c r="I116" s="274"/>
      <c r="J116" s="75">
        <v>1</v>
      </c>
      <c r="K116" s="283"/>
      <c r="M116" s="280"/>
    </row>
    <row r="117" spans="1:13" ht="30.75" customHeight="1" x14ac:dyDescent="0.25">
      <c r="A117" s="340">
        <v>28</v>
      </c>
      <c r="B117" s="81" t="s">
        <v>618</v>
      </c>
      <c r="C117" s="80">
        <v>1290.22</v>
      </c>
      <c r="D117" s="80">
        <v>0</v>
      </c>
      <c r="E117" s="80">
        <v>205.2</v>
      </c>
      <c r="F117" s="80">
        <v>94.2</v>
      </c>
      <c r="G117" s="80">
        <v>400.68</v>
      </c>
      <c r="H117" s="80">
        <v>4500</v>
      </c>
      <c r="I117" s="80">
        <v>9120</v>
      </c>
      <c r="J117" s="80">
        <v>310</v>
      </c>
      <c r="K117" s="312">
        <f>SUM(C120:J120)</f>
        <v>4</v>
      </c>
      <c r="M117" s="275">
        <v>4</v>
      </c>
    </row>
    <row r="118" spans="1:13" ht="30.75" customHeight="1" x14ac:dyDescent="0.25">
      <c r="A118" s="340"/>
      <c r="B118" s="82" t="s">
        <v>589</v>
      </c>
      <c r="C118" s="77">
        <f>C117/'PRODUTIVIDADE IN 05-2017'!$A$12</f>
        <v>1.0751833333333334</v>
      </c>
      <c r="D118" s="77">
        <f>D117/'PRODUTIVIDADE IN 05-2017'!$E$12</f>
        <v>0</v>
      </c>
      <c r="E118" s="77">
        <f>E117/'PRODUTIVIDADE IN 05-2017'!$I$12</f>
        <v>0.1368</v>
      </c>
      <c r="F118" s="77">
        <f>F117/'PRODUTIVIDADE IN 05-2017'!$K$12</f>
        <v>0.314</v>
      </c>
      <c r="G118" s="77">
        <f>G117/'PRODUTIVIDADE IN 05-2017'!$A$16</f>
        <v>0.1484</v>
      </c>
      <c r="H118" s="77">
        <f>H117/'PRODUTIVIDADE IN 05-2017'!$C$16</f>
        <v>0.5</v>
      </c>
      <c r="I118" s="77">
        <f>I117/'PRODUTIVIDADE IN 05-2017'!$E$16</f>
        <v>9.1200000000000003E-2</v>
      </c>
      <c r="J118" s="298">
        <f>J117/'PRODUTIVIDADE IN 05-2017'!$G$16</f>
        <v>0.81578947368421051</v>
      </c>
      <c r="K118" s="313"/>
      <c r="M118" s="275"/>
    </row>
    <row r="119" spans="1:13" ht="30.75" customHeight="1" x14ac:dyDescent="0.25">
      <c r="A119" s="340"/>
      <c r="B119" s="82" t="s">
        <v>590</v>
      </c>
      <c r="C119" s="300">
        <f>SUM(C118:F118)</f>
        <v>1.5259833333333335</v>
      </c>
      <c r="D119" s="301"/>
      <c r="E119" s="301"/>
      <c r="F119" s="302"/>
      <c r="G119" s="300">
        <f>SUM(G118:I118)</f>
        <v>0.73960000000000004</v>
      </c>
      <c r="H119" s="301"/>
      <c r="I119" s="302"/>
      <c r="J119" s="299"/>
      <c r="K119" s="313"/>
      <c r="M119" s="275"/>
    </row>
    <row r="120" spans="1:13" ht="30.75" customHeight="1" x14ac:dyDescent="0.25">
      <c r="A120" s="340"/>
      <c r="B120" s="82" t="s">
        <v>591</v>
      </c>
      <c r="C120" s="303">
        <v>2</v>
      </c>
      <c r="D120" s="304"/>
      <c r="E120" s="304"/>
      <c r="F120" s="305"/>
      <c r="G120" s="303">
        <v>1</v>
      </c>
      <c r="H120" s="304"/>
      <c r="I120" s="305"/>
      <c r="J120" s="78">
        <v>1</v>
      </c>
      <c r="K120" s="322"/>
      <c r="M120" s="275"/>
    </row>
    <row r="121" spans="1:13" ht="30.75" customHeight="1" x14ac:dyDescent="0.25">
      <c r="A121" s="342">
        <v>29</v>
      </c>
      <c r="B121" s="83" t="s">
        <v>619</v>
      </c>
      <c r="C121" s="74">
        <v>601.4</v>
      </c>
      <c r="D121" s="74">
        <v>0</v>
      </c>
      <c r="E121" s="74">
        <v>151.5</v>
      </c>
      <c r="F121" s="74">
        <v>60.3</v>
      </c>
      <c r="G121" s="168">
        <v>182</v>
      </c>
      <c r="H121" s="74">
        <v>1100</v>
      </c>
      <c r="I121" s="74">
        <v>1039</v>
      </c>
      <c r="J121" s="74">
        <v>181</v>
      </c>
      <c r="K121" s="264">
        <f>SUM(C124:J124)</f>
        <v>1</v>
      </c>
      <c r="M121" s="276">
        <v>2</v>
      </c>
    </row>
    <row r="122" spans="1:13" ht="30.75" customHeight="1" x14ac:dyDescent="0.25">
      <c r="A122" s="342"/>
      <c r="B122" s="83" t="s">
        <v>589</v>
      </c>
      <c r="C122" s="74">
        <f>C121/'PRODUTIVIDADE IN 05-2017'!$A$12</f>
        <v>0.50116666666666665</v>
      </c>
      <c r="D122" s="74">
        <f>D121/'PRODUTIVIDADE IN 05-2017'!$E$12</f>
        <v>0</v>
      </c>
      <c r="E122" s="74">
        <f>E121/'PRODUTIVIDADE IN 05-2017'!$I$12</f>
        <v>0.10100000000000001</v>
      </c>
      <c r="F122" s="74">
        <f>F121/'PRODUTIVIDADE IN 05-2017'!$K$12</f>
        <v>0.20099999999999998</v>
      </c>
      <c r="G122" s="74">
        <f>G121/'PRODUTIVIDADE IN 05-2017'!$A$16</f>
        <v>6.7407407407407402E-2</v>
      </c>
      <c r="H122" s="74">
        <f>H121/'PRODUTIVIDADE IN 05-2017'!$C$16</f>
        <v>0.12222222222222222</v>
      </c>
      <c r="I122" s="74">
        <f>I121/'PRODUTIVIDADE IN 05-2017'!$E$16</f>
        <v>1.039E-2</v>
      </c>
      <c r="J122" s="267">
        <f>J121/'PRODUTIVIDADE IN 05-2017'!$G$16</f>
        <v>0.47631578947368419</v>
      </c>
      <c r="K122" s="265"/>
      <c r="M122" s="276"/>
    </row>
    <row r="123" spans="1:13" ht="30.75" customHeight="1" x14ac:dyDescent="0.25">
      <c r="A123" s="342"/>
      <c r="B123" s="83" t="s">
        <v>590</v>
      </c>
      <c r="C123" s="269">
        <f>SUM(C122:F122)</f>
        <v>0.80316666666666658</v>
      </c>
      <c r="D123" s="270"/>
      <c r="E123" s="270"/>
      <c r="F123" s="271"/>
      <c r="G123" s="269">
        <f>SUM(G122:I122)</f>
        <v>0.20001962962962963</v>
      </c>
      <c r="H123" s="270"/>
      <c r="I123" s="271"/>
      <c r="J123" s="268"/>
      <c r="K123" s="265"/>
      <c r="M123" s="276"/>
    </row>
    <row r="124" spans="1:13" ht="30.75" customHeight="1" x14ac:dyDescent="0.25">
      <c r="A124" s="342"/>
      <c r="B124" s="83" t="s">
        <v>591</v>
      </c>
      <c r="C124" s="272">
        <v>1</v>
      </c>
      <c r="D124" s="273"/>
      <c r="E124" s="273"/>
      <c r="F124" s="274"/>
      <c r="G124" s="272">
        <v>0</v>
      </c>
      <c r="H124" s="273"/>
      <c r="I124" s="274"/>
      <c r="J124" s="75">
        <v>0</v>
      </c>
      <c r="K124" s="266"/>
      <c r="M124" s="276"/>
    </row>
    <row r="125" spans="1:13" ht="30.75" customHeight="1" x14ac:dyDescent="0.25">
      <c r="A125" s="340">
        <v>30</v>
      </c>
      <c r="B125" s="81" t="s">
        <v>620</v>
      </c>
      <c r="C125" s="80">
        <v>3832</v>
      </c>
      <c r="D125" s="80">
        <v>205</v>
      </c>
      <c r="E125" s="80">
        <v>742</v>
      </c>
      <c r="F125" s="80">
        <v>334</v>
      </c>
      <c r="G125" s="80">
        <v>1168</v>
      </c>
      <c r="H125" s="80">
        <v>6033</v>
      </c>
      <c r="I125" s="80">
        <v>0</v>
      </c>
      <c r="J125" s="80">
        <v>550</v>
      </c>
      <c r="K125" s="312">
        <f>SUM(C128:J128)</f>
        <v>7</v>
      </c>
      <c r="M125" s="275">
        <v>12</v>
      </c>
    </row>
    <row r="126" spans="1:13" ht="30.75" customHeight="1" x14ac:dyDescent="0.25">
      <c r="A126" s="340"/>
      <c r="B126" s="82" t="s">
        <v>589</v>
      </c>
      <c r="C126" s="77">
        <f>C125/'PRODUTIVIDADE IN 05-2017'!$A$12</f>
        <v>3.1933333333333334</v>
      </c>
      <c r="D126" s="77">
        <f>D125/'PRODUTIVIDADE IN 05-2017'!$E$12</f>
        <v>8.2000000000000003E-2</v>
      </c>
      <c r="E126" s="77">
        <f>E125/'PRODUTIVIDADE IN 05-2017'!$I$12</f>
        <v>0.49466666666666664</v>
      </c>
      <c r="F126" s="77">
        <f>F125/'PRODUTIVIDADE IN 05-2017'!$K$12</f>
        <v>1.1133333333333333</v>
      </c>
      <c r="G126" s="77">
        <f>G125/'PRODUTIVIDADE IN 05-2017'!$A$16</f>
        <v>0.43259259259259258</v>
      </c>
      <c r="H126" s="77">
        <f>H125/'PRODUTIVIDADE IN 05-2017'!$C$16</f>
        <v>0.67033333333333334</v>
      </c>
      <c r="I126" s="77">
        <f>I125/'PRODUTIVIDADE IN 05-2017'!$E$16</f>
        <v>0</v>
      </c>
      <c r="J126" s="298">
        <f>J125/'PRODUTIVIDADE IN 05-2017'!$G$16</f>
        <v>1.4473684210526316</v>
      </c>
      <c r="K126" s="313"/>
      <c r="M126" s="275"/>
    </row>
    <row r="127" spans="1:13" ht="30.75" customHeight="1" x14ac:dyDescent="0.25">
      <c r="A127" s="340"/>
      <c r="B127" s="82" t="s">
        <v>590</v>
      </c>
      <c r="C127" s="300">
        <f>SUM(C126:F126)</f>
        <v>4.8833333333333329</v>
      </c>
      <c r="D127" s="301"/>
      <c r="E127" s="301"/>
      <c r="F127" s="302"/>
      <c r="G127" s="300">
        <f>SUM(G126:I126)</f>
        <v>1.1029259259259259</v>
      </c>
      <c r="H127" s="301"/>
      <c r="I127" s="302"/>
      <c r="J127" s="299"/>
      <c r="K127" s="313"/>
      <c r="M127" s="275"/>
    </row>
    <row r="128" spans="1:13" ht="30.75" customHeight="1" x14ac:dyDescent="0.25">
      <c r="A128" s="340"/>
      <c r="B128" s="82" t="s">
        <v>591</v>
      </c>
      <c r="C128" s="303">
        <v>5</v>
      </c>
      <c r="D128" s="304"/>
      <c r="E128" s="304"/>
      <c r="F128" s="305"/>
      <c r="G128" s="303">
        <v>1</v>
      </c>
      <c r="H128" s="304"/>
      <c r="I128" s="305"/>
      <c r="J128" s="78">
        <v>1</v>
      </c>
      <c r="K128" s="322"/>
      <c r="M128" s="275"/>
    </row>
    <row r="129" spans="1:13" ht="30.75" customHeight="1" x14ac:dyDescent="0.25">
      <c r="A129" s="341">
        <v>31</v>
      </c>
      <c r="B129" s="84" t="s">
        <v>621</v>
      </c>
      <c r="C129" s="85">
        <v>1341.29</v>
      </c>
      <c r="D129" s="85">
        <v>22.35</v>
      </c>
      <c r="E129" s="85">
        <v>310</v>
      </c>
      <c r="F129" s="85">
        <v>96.71</v>
      </c>
      <c r="G129" s="85">
        <v>168.36</v>
      </c>
      <c r="H129" s="85">
        <v>2651</v>
      </c>
      <c r="I129" s="85">
        <v>25784.86</v>
      </c>
      <c r="J129" s="85">
        <v>237.23</v>
      </c>
      <c r="K129" s="281">
        <f>SUM(C132:J132)</f>
        <v>4</v>
      </c>
      <c r="M129" s="280">
        <v>4</v>
      </c>
    </row>
    <row r="130" spans="1:13" ht="30.75" customHeight="1" x14ac:dyDescent="0.25">
      <c r="A130" s="341"/>
      <c r="B130" s="83" t="s">
        <v>589</v>
      </c>
      <c r="C130" s="74">
        <f>C129/'PRODUTIVIDADE IN 05-2017'!$A$12</f>
        <v>1.1177416666666666</v>
      </c>
      <c r="D130" s="74">
        <f>D129/'PRODUTIVIDADE IN 05-2017'!$E$12</f>
        <v>8.94E-3</v>
      </c>
      <c r="E130" s="74">
        <f>E129/'PRODUTIVIDADE IN 05-2017'!$I$12</f>
        <v>0.20666666666666667</v>
      </c>
      <c r="F130" s="74">
        <f>F129/'PRODUTIVIDADE IN 05-2017'!$K$12</f>
        <v>0.32236666666666663</v>
      </c>
      <c r="G130" s="74">
        <f>G129/'PRODUTIVIDADE IN 05-2017'!$A$16</f>
        <v>6.235555555555556E-2</v>
      </c>
      <c r="H130" s="74">
        <f>H129/'PRODUTIVIDADE IN 05-2017'!$C$16</f>
        <v>0.29455555555555557</v>
      </c>
      <c r="I130" s="74">
        <f>I129/'PRODUTIVIDADE IN 05-2017'!$E$16</f>
        <v>0.25784859999999998</v>
      </c>
      <c r="J130" s="267">
        <f>J129/'PRODUTIVIDADE IN 05-2017'!$G$16</f>
        <v>0.62428947368421051</v>
      </c>
      <c r="K130" s="282"/>
      <c r="M130" s="280"/>
    </row>
    <row r="131" spans="1:13" ht="30.75" customHeight="1" x14ac:dyDescent="0.25">
      <c r="A131" s="341"/>
      <c r="B131" s="83" t="s">
        <v>590</v>
      </c>
      <c r="C131" s="335">
        <f>SUM(C130:F130)</f>
        <v>1.655715</v>
      </c>
      <c r="D131" s="336"/>
      <c r="E131" s="336"/>
      <c r="F131" s="337"/>
      <c r="G131" s="335">
        <f>SUM(G130:I130)</f>
        <v>0.61475971111111116</v>
      </c>
      <c r="H131" s="336"/>
      <c r="I131" s="337"/>
      <c r="J131" s="268"/>
      <c r="K131" s="282"/>
      <c r="M131" s="280"/>
    </row>
    <row r="132" spans="1:13" ht="30.75" customHeight="1" x14ac:dyDescent="0.25">
      <c r="A132" s="341"/>
      <c r="B132" s="86" t="s">
        <v>591</v>
      </c>
      <c r="C132" s="338">
        <v>2</v>
      </c>
      <c r="D132" s="338"/>
      <c r="E132" s="338"/>
      <c r="F132" s="338"/>
      <c r="G132" s="338">
        <v>1</v>
      </c>
      <c r="H132" s="338"/>
      <c r="I132" s="338"/>
      <c r="J132" s="180">
        <v>1</v>
      </c>
      <c r="K132" s="283"/>
      <c r="M132" s="280"/>
    </row>
    <row r="133" spans="1:13" ht="30.75" customHeight="1" x14ac:dyDescent="0.25">
      <c r="A133" s="325">
        <v>32</v>
      </c>
      <c r="B133" s="82" t="s">
        <v>622</v>
      </c>
      <c r="C133" s="77">
        <v>113.15</v>
      </c>
      <c r="D133" s="77">
        <v>25.8</v>
      </c>
      <c r="E133" s="77"/>
      <c r="F133" s="77">
        <v>12</v>
      </c>
      <c r="G133" s="77">
        <v>639.54999999999995</v>
      </c>
      <c r="H133" s="77">
        <v>295</v>
      </c>
      <c r="I133" s="77">
        <v>11383.45</v>
      </c>
      <c r="J133" s="77">
        <v>153.22999999999999</v>
      </c>
      <c r="K133" s="349">
        <f>SUM(C136:J136)</f>
        <v>0</v>
      </c>
      <c r="M133" s="275" t="s">
        <v>623</v>
      </c>
    </row>
    <row r="134" spans="1:13" ht="30.75" customHeight="1" x14ac:dyDescent="0.25">
      <c r="A134" s="325"/>
      <c r="B134" s="82" t="s">
        <v>589</v>
      </c>
      <c r="C134" s="77">
        <f>C133/'PRODUTIVIDADE IN 05-2017'!$A$12</f>
        <v>9.4291666666666676E-2</v>
      </c>
      <c r="D134" s="77">
        <f>D133/'PRODUTIVIDADE IN 05-2017'!$E$12</f>
        <v>1.0320000000000001E-2</v>
      </c>
      <c r="E134" s="77">
        <f>E133/'PRODUTIVIDADE IN 05-2017'!$I$12</f>
        <v>0</v>
      </c>
      <c r="F134" s="77">
        <f>F133/'PRODUTIVIDADE IN 05-2017'!$K$12</f>
        <v>0.04</v>
      </c>
      <c r="G134" s="77">
        <f>G133/'PRODUTIVIDADE IN 05-2017'!$A$16</f>
        <v>0.23687037037037034</v>
      </c>
      <c r="H134" s="77">
        <f>H133/'PRODUTIVIDADE IN 05-2017'!$C$16</f>
        <v>3.2777777777777781E-2</v>
      </c>
      <c r="I134" s="77">
        <f>I133/'PRODUTIVIDADE IN 05-2017'!$E$16</f>
        <v>0.11383450000000001</v>
      </c>
      <c r="J134" s="298">
        <f>J133/'PRODUTIVIDADE IN 05-2017'!$G$16</f>
        <v>0.40323684210526312</v>
      </c>
      <c r="K134" s="350"/>
      <c r="M134" s="275"/>
    </row>
    <row r="135" spans="1:13" ht="30.75" customHeight="1" x14ac:dyDescent="0.25">
      <c r="A135" s="325"/>
      <c r="B135" s="82" t="s">
        <v>590</v>
      </c>
      <c r="C135" s="330">
        <f>SUM(C134:F134)</f>
        <v>0.14461166666666667</v>
      </c>
      <c r="D135" s="331"/>
      <c r="E135" s="331"/>
      <c r="F135" s="332"/>
      <c r="G135" s="330">
        <f>SUM(G134:I134)</f>
        <v>0.38348264814814814</v>
      </c>
      <c r="H135" s="331"/>
      <c r="I135" s="332"/>
      <c r="J135" s="299"/>
      <c r="K135" s="350"/>
      <c r="M135" s="275"/>
    </row>
    <row r="136" spans="1:13" ht="30.75" customHeight="1" x14ac:dyDescent="0.25">
      <c r="A136" s="325"/>
      <c r="B136" s="151" t="s">
        <v>591</v>
      </c>
      <c r="C136" s="333">
        <v>0</v>
      </c>
      <c r="D136" s="333"/>
      <c r="E136" s="333"/>
      <c r="F136" s="333"/>
      <c r="G136" s="333">
        <v>0</v>
      </c>
      <c r="H136" s="333"/>
      <c r="I136" s="333"/>
      <c r="J136" s="179">
        <v>0</v>
      </c>
      <c r="K136" s="351"/>
      <c r="M136" s="275"/>
    </row>
    <row r="137" spans="1:13" ht="60" customHeight="1" x14ac:dyDescent="0.25">
      <c r="A137" s="339" t="s">
        <v>624</v>
      </c>
      <c r="B137" s="339"/>
      <c r="C137" s="339"/>
      <c r="D137" s="339"/>
      <c r="E137" s="339"/>
      <c r="F137" s="339"/>
      <c r="G137" s="339"/>
      <c r="H137" s="339"/>
      <c r="I137" s="339"/>
      <c r="J137" s="339"/>
      <c r="K137" s="87">
        <f>SUM(K3:K136)</f>
        <v>73</v>
      </c>
      <c r="M137" s="144">
        <f>SUM(M3:M136)</f>
        <v>96</v>
      </c>
    </row>
    <row r="138" spans="1:13" ht="30" customHeight="1" x14ac:dyDescent="0.25">
      <c r="A138" s="323" t="s">
        <v>625</v>
      </c>
      <c r="B138" s="323"/>
      <c r="C138" s="323"/>
      <c r="D138" s="323"/>
      <c r="E138" s="323"/>
      <c r="F138" s="323"/>
      <c r="G138" s="323"/>
      <c r="H138" s="323"/>
      <c r="I138" s="323"/>
      <c r="J138" s="323"/>
      <c r="K138" s="323"/>
    </row>
    <row r="139" spans="1:13" ht="24" customHeight="1" x14ac:dyDescent="0.25">
      <c r="A139" s="324" t="s">
        <v>739</v>
      </c>
      <c r="B139" s="324"/>
      <c r="C139" s="324"/>
      <c r="D139" s="324"/>
      <c r="E139" s="324"/>
      <c r="F139" s="324"/>
      <c r="G139" s="324"/>
      <c r="H139" s="324"/>
      <c r="I139" s="324"/>
      <c r="J139" s="324"/>
      <c r="K139" s="324"/>
    </row>
  </sheetData>
  <mergeCells count="275">
    <mergeCell ref="A137:J137"/>
    <mergeCell ref="A138:K138"/>
    <mergeCell ref="A139:K139"/>
    <mergeCell ref="A133:A136"/>
    <mergeCell ref="K133:K136"/>
    <mergeCell ref="M133:M136"/>
    <mergeCell ref="J134:J135"/>
    <mergeCell ref="C135:F135"/>
    <mergeCell ref="G135:I135"/>
    <mergeCell ref="C136:F136"/>
    <mergeCell ref="G136:I136"/>
    <mergeCell ref="A129:A132"/>
    <mergeCell ref="K129:K132"/>
    <mergeCell ref="M129:M132"/>
    <mergeCell ref="J130:J131"/>
    <mergeCell ref="C131:F131"/>
    <mergeCell ref="G131:I131"/>
    <mergeCell ref="C132:F132"/>
    <mergeCell ref="G132:I132"/>
    <mergeCell ref="A125:A128"/>
    <mergeCell ref="K125:K128"/>
    <mergeCell ref="M125:M128"/>
    <mergeCell ref="J126:J127"/>
    <mergeCell ref="C127:F127"/>
    <mergeCell ref="G127:I127"/>
    <mergeCell ref="C128:F128"/>
    <mergeCell ref="G128:I128"/>
    <mergeCell ref="A121:A124"/>
    <mergeCell ref="K121:K124"/>
    <mergeCell ref="M121:M124"/>
    <mergeCell ref="J122:J123"/>
    <mergeCell ref="C123:F123"/>
    <mergeCell ref="G123:I123"/>
    <mergeCell ref="C124:F124"/>
    <mergeCell ref="G124:I124"/>
    <mergeCell ref="A117:A120"/>
    <mergeCell ref="K117:K120"/>
    <mergeCell ref="M117:M120"/>
    <mergeCell ref="J118:J119"/>
    <mergeCell ref="C119:F119"/>
    <mergeCell ref="G119:I119"/>
    <mergeCell ref="C120:F120"/>
    <mergeCell ref="G120:I120"/>
    <mergeCell ref="A113:A116"/>
    <mergeCell ref="K113:K116"/>
    <mergeCell ref="M113:M116"/>
    <mergeCell ref="J114:J115"/>
    <mergeCell ref="C115:F115"/>
    <mergeCell ref="G115:I115"/>
    <mergeCell ref="C116:F116"/>
    <mergeCell ref="G116:I116"/>
    <mergeCell ref="A109:A112"/>
    <mergeCell ref="K109:K112"/>
    <mergeCell ref="M109:M112"/>
    <mergeCell ref="J110:J111"/>
    <mergeCell ref="C111:F111"/>
    <mergeCell ref="G111:I111"/>
    <mergeCell ref="C112:F112"/>
    <mergeCell ref="G112:I112"/>
    <mergeCell ref="M105:M108"/>
    <mergeCell ref="J106:J107"/>
    <mergeCell ref="C107:F107"/>
    <mergeCell ref="G107:I107"/>
    <mergeCell ref="C108:F108"/>
    <mergeCell ref="G108:I108"/>
    <mergeCell ref="A103:A104"/>
    <mergeCell ref="B103:B104"/>
    <mergeCell ref="C103:F103"/>
    <mergeCell ref="G103:I103"/>
    <mergeCell ref="A105:A108"/>
    <mergeCell ref="K105:K108"/>
    <mergeCell ref="A99:A102"/>
    <mergeCell ref="K99:K102"/>
    <mergeCell ref="M99:M102"/>
    <mergeCell ref="J100:J101"/>
    <mergeCell ref="C101:F101"/>
    <mergeCell ref="G101:I101"/>
    <mergeCell ref="C102:F102"/>
    <mergeCell ref="G102:I102"/>
    <mergeCell ref="A95:A98"/>
    <mergeCell ref="K95:K98"/>
    <mergeCell ref="M95:M98"/>
    <mergeCell ref="J96:J97"/>
    <mergeCell ref="C97:F97"/>
    <mergeCell ref="G97:I97"/>
    <mergeCell ref="C98:F98"/>
    <mergeCell ref="G98:I98"/>
    <mergeCell ref="A91:A94"/>
    <mergeCell ref="K91:K94"/>
    <mergeCell ref="M91:M94"/>
    <mergeCell ref="J92:J93"/>
    <mergeCell ref="C93:F93"/>
    <mergeCell ref="G93:I93"/>
    <mergeCell ref="C94:F94"/>
    <mergeCell ref="G94:I94"/>
    <mergeCell ref="A87:A90"/>
    <mergeCell ref="K87:K90"/>
    <mergeCell ref="M87:M90"/>
    <mergeCell ref="J88:J89"/>
    <mergeCell ref="C89:F89"/>
    <mergeCell ref="G89:I89"/>
    <mergeCell ref="C90:F90"/>
    <mergeCell ref="G90:I90"/>
    <mergeCell ref="A83:A86"/>
    <mergeCell ref="K83:K86"/>
    <mergeCell ref="M83:M86"/>
    <mergeCell ref="J84:J85"/>
    <mergeCell ref="C85:F85"/>
    <mergeCell ref="G85:I85"/>
    <mergeCell ref="C86:F86"/>
    <mergeCell ref="G86:I86"/>
    <mergeCell ref="A79:A82"/>
    <mergeCell ref="K79:K82"/>
    <mergeCell ref="M79:M82"/>
    <mergeCell ref="J80:J81"/>
    <mergeCell ref="C81:F81"/>
    <mergeCell ref="G81:I81"/>
    <mergeCell ref="C82:F82"/>
    <mergeCell ref="G82:I82"/>
    <mergeCell ref="A75:A78"/>
    <mergeCell ref="K75:K78"/>
    <mergeCell ref="M75:M78"/>
    <mergeCell ref="J76:J77"/>
    <mergeCell ref="C77:F77"/>
    <mergeCell ref="G77:I77"/>
    <mergeCell ref="C78:F78"/>
    <mergeCell ref="G78:I78"/>
    <mergeCell ref="M71:M74"/>
    <mergeCell ref="J72:J73"/>
    <mergeCell ref="C73:F73"/>
    <mergeCell ref="G73:I73"/>
    <mergeCell ref="C74:F74"/>
    <mergeCell ref="G74:I74"/>
    <mergeCell ref="A69:A70"/>
    <mergeCell ref="B69:B70"/>
    <mergeCell ref="C69:F69"/>
    <mergeCell ref="G69:I69"/>
    <mergeCell ref="A71:A74"/>
    <mergeCell ref="K71:K74"/>
    <mergeCell ref="A65:A68"/>
    <mergeCell ref="K65:K68"/>
    <mergeCell ref="M65:M68"/>
    <mergeCell ref="J66:J67"/>
    <mergeCell ref="C67:F67"/>
    <mergeCell ref="G67:I67"/>
    <mergeCell ref="C68:F68"/>
    <mergeCell ref="G68:I68"/>
    <mergeCell ref="A61:A64"/>
    <mergeCell ref="K61:K64"/>
    <mergeCell ref="M61:M64"/>
    <mergeCell ref="J62:J63"/>
    <mergeCell ref="C63:F63"/>
    <mergeCell ref="G63:I63"/>
    <mergeCell ref="C64:F64"/>
    <mergeCell ref="G64:I64"/>
    <mergeCell ref="A57:A60"/>
    <mergeCell ref="K57:K60"/>
    <mergeCell ref="M57:M60"/>
    <mergeCell ref="J58:J59"/>
    <mergeCell ref="C59:F59"/>
    <mergeCell ref="G59:I59"/>
    <mergeCell ref="C60:F60"/>
    <mergeCell ref="G60:I60"/>
    <mergeCell ref="A53:A56"/>
    <mergeCell ref="K53:K56"/>
    <mergeCell ref="M53:M56"/>
    <mergeCell ref="J54:J55"/>
    <mergeCell ref="C55:F55"/>
    <mergeCell ref="G55:I55"/>
    <mergeCell ref="C56:F56"/>
    <mergeCell ref="G56:I56"/>
    <mergeCell ref="A49:A52"/>
    <mergeCell ref="K49:K52"/>
    <mergeCell ref="M49:M52"/>
    <mergeCell ref="J50:J51"/>
    <mergeCell ref="C51:F51"/>
    <mergeCell ref="G51:I51"/>
    <mergeCell ref="C52:F52"/>
    <mergeCell ref="G52:I52"/>
    <mergeCell ref="A45:A48"/>
    <mergeCell ref="K45:K48"/>
    <mergeCell ref="M45:M48"/>
    <mergeCell ref="J46:J47"/>
    <mergeCell ref="C47:F47"/>
    <mergeCell ref="G47:I47"/>
    <mergeCell ref="C48:F48"/>
    <mergeCell ref="G48:I48"/>
    <mergeCell ref="A41:A44"/>
    <mergeCell ref="K41:K44"/>
    <mergeCell ref="M41:M44"/>
    <mergeCell ref="J42:J43"/>
    <mergeCell ref="C43:F43"/>
    <mergeCell ref="G43:I43"/>
    <mergeCell ref="C44:F44"/>
    <mergeCell ref="G44:I44"/>
    <mergeCell ref="M37:M40"/>
    <mergeCell ref="J38:J39"/>
    <mergeCell ref="C39:F39"/>
    <mergeCell ref="G39:I39"/>
    <mergeCell ref="C40:F40"/>
    <mergeCell ref="G40:I40"/>
    <mergeCell ref="A35:A36"/>
    <mergeCell ref="B35:B36"/>
    <mergeCell ref="C35:F35"/>
    <mergeCell ref="G35:I35"/>
    <mergeCell ref="A37:A40"/>
    <mergeCell ref="K37:K40"/>
    <mergeCell ref="A31:A34"/>
    <mergeCell ref="K31:K34"/>
    <mergeCell ref="M31:M34"/>
    <mergeCell ref="J32:J33"/>
    <mergeCell ref="C33:F33"/>
    <mergeCell ref="G33:I33"/>
    <mergeCell ref="C34:F34"/>
    <mergeCell ref="G34:I34"/>
    <mergeCell ref="A27:A30"/>
    <mergeCell ref="K27:K30"/>
    <mergeCell ref="M27:M30"/>
    <mergeCell ref="J28:J29"/>
    <mergeCell ref="C29:F29"/>
    <mergeCell ref="G29:I29"/>
    <mergeCell ref="C30:F30"/>
    <mergeCell ref="G30:I30"/>
    <mergeCell ref="A23:A26"/>
    <mergeCell ref="K23:K26"/>
    <mergeCell ref="M23:M26"/>
    <mergeCell ref="J24:J25"/>
    <mergeCell ref="C25:F25"/>
    <mergeCell ref="G25:I25"/>
    <mergeCell ref="C26:F26"/>
    <mergeCell ref="G26:I26"/>
    <mergeCell ref="A19:A22"/>
    <mergeCell ref="K19:K22"/>
    <mergeCell ref="M19:M22"/>
    <mergeCell ref="J20:J21"/>
    <mergeCell ref="C21:F21"/>
    <mergeCell ref="G21:I21"/>
    <mergeCell ref="C22:F22"/>
    <mergeCell ref="G22:I22"/>
    <mergeCell ref="A15:A18"/>
    <mergeCell ref="K15:K18"/>
    <mergeCell ref="M15:M18"/>
    <mergeCell ref="J16:J17"/>
    <mergeCell ref="C17:F17"/>
    <mergeCell ref="G17:I17"/>
    <mergeCell ref="C18:F18"/>
    <mergeCell ref="G18:I18"/>
    <mergeCell ref="A11:A14"/>
    <mergeCell ref="K11:K14"/>
    <mergeCell ref="M11:M14"/>
    <mergeCell ref="J12:J13"/>
    <mergeCell ref="C13:F13"/>
    <mergeCell ref="G13:I13"/>
    <mergeCell ref="C14:F14"/>
    <mergeCell ref="G14:I14"/>
    <mergeCell ref="A1:A2"/>
    <mergeCell ref="B1:B2"/>
    <mergeCell ref="C1:F1"/>
    <mergeCell ref="G1:I1"/>
    <mergeCell ref="A3:A6"/>
    <mergeCell ref="K3:K6"/>
    <mergeCell ref="A7:A10"/>
    <mergeCell ref="K7:K10"/>
    <mergeCell ref="M7:M10"/>
    <mergeCell ref="J8:J9"/>
    <mergeCell ref="C9:F9"/>
    <mergeCell ref="G9:I9"/>
    <mergeCell ref="C10:F10"/>
    <mergeCell ref="G10:I10"/>
    <mergeCell ref="M3:M6"/>
    <mergeCell ref="J4:J5"/>
    <mergeCell ref="C5:F5"/>
    <mergeCell ref="G5:I5"/>
    <mergeCell ref="C6:F6"/>
    <mergeCell ref="G6:I6"/>
  </mergeCells>
  <printOptions horizontalCentered="1"/>
  <pageMargins left="0.51181102362204722" right="0.51181102362204722" top="0.78740157480314965" bottom="0.39370078740157483" header="0.31496062992125984" footer="0.31496062992125984"/>
  <pageSetup paperSize="9" scale="70" orientation="portrait" horizontalDpi="300" verticalDpi="300" r:id="rId1"/>
  <headerFooter>
    <oddHeader>&amp;C&amp;"Arial,Negrito"&amp;14&amp;UMEMORIA DE CÁLCULO DA QUANTIDADE DE POSTOS DE TRABALHO (SERVENTES) 
ITEM 1 - UNIDADES OPERACIONAIS - SEGUNDA-FEIRA À DOMINGO</oddHeader>
  </headerFooter>
  <rowBreaks count="3" manualBreakCount="3">
    <brk id="34" max="16383" man="1"/>
    <brk id="68" max="16383" man="1"/>
    <brk id="10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63"/>
  <sheetViews>
    <sheetView zoomScale="90" zoomScaleNormal="90" workbookViewId="0">
      <pane xSplit="2" ySplit="2" topLeftCell="C21" activePane="bottomRight" state="frozen"/>
      <selection pane="topRight" activeCell="C1" sqref="C1"/>
      <selection pane="bottomLeft" activeCell="A3" sqref="A3"/>
      <selection pane="bottomRight" activeCell="P47" sqref="P47"/>
    </sheetView>
  </sheetViews>
  <sheetFormatPr defaultRowHeight="15" x14ac:dyDescent="0.25"/>
  <cols>
    <col min="1" max="1" width="6.42578125" customWidth="1"/>
    <col min="2" max="2" width="21.42578125" customWidth="1"/>
    <col min="3" max="12" width="12.7109375" customWidth="1"/>
    <col min="13" max="13" width="20.85546875" customWidth="1"/>
    <col min="14" max="14" width="3.140625" customWidth="1"/>
    <col min="15" max="15" width="10.85546875" hidden="1" customWidth="1"/>
  </cols>
  <sheetData>
    <row r="1" spans="1:15" ht="70.5" customHeight="1" x14ac:dyDescent="0.25">
      <c r="A1" s="284" t="s">
        <v>574</v>
      </c>
      <c r="B1" s="286" t="s">
        <v>575</v>
      </c>
      <c r="C1" s="288" t="s">
        <v>576</v>
      </c>
      <c r="D1" s="288"/>
      <c r="E1" s="288"/>
      <c r="F1" s="288"/>
      <c r="G1" s="288"/>
      <c r="H1" s="288"/>
      <c r="I1" s="289" t="s">
        <v>577</v>
      </c>
      <c r="J1" s="289"/>
      <c r="K1" s="289"/>
      <c r="L1" s="65" t="s">
        <v>568</v>
      </c>
      <c r="M1" s="88" t="s">
        <v>578</v>
      </c>
      <c r="O1" s="142" t="s">
        <v>579</v>
      </c>
    </row>
    <row r="2" spans="1:15" ht="30.75" thickBot="1" x14ac:dyDescent="0.3">
      <c r="A2" s="353"/>
      <c r="B2" s="287"/>
      <c r="C2" s="67" t="s">
        <v>580</v>
      </c>
      <c r="D2" s="67" t="s">
        <v>626</v>
      </c>
      <c r="E2" s="67" t="s">
        <v>581</v>
      </c>
      <c r="F2" s="67" t="s">
        <v>563</v>
      </c>
      <c r="G2" s="67" t="s">
        <v>582</v>
      </c>
      <c r="H2" s="67" t="s">
        <v>565</v>
      </c>
      <c r="I2" s="68" t="s">
        <v>583</v>
      </c>
      <c r="J2" s="68" t="s">
        <v>584</v>
      </c>
      <c r="K2" s="68" t="s">
        <v>585</v>
      </c>
      <c r="L2" s="69" t="s">
        <v>586</v>
      </c>
      <c r="M2" s="70" t="s">
        <v>587</v>
      </c>
      <c r="O2" s="143" t="s">
        <v>587</v>
      </c>
    </row>
    <row r="3" spans="1:15" ht="30.75" customHeight="1" x14ac:dyDescent="0.25">
      <c r="A3" s="475">
        <v>33</v>
      </c>
      <c r="B3" s="130" t="s">
        <v>627</v>
      </c>
      <c r="C3" s="72">
        <v>5311.06</v>
      </c>
      <c r="D3" s="72">
        <v>0</v>
      </c>
      <c r="E3" s="72">
        <v>0</v>
      </c>
      <c r="F3" s="72">
        <v>0</v>
      </c>
      <c r="G3" s="72">
        <v>845.82</v>
      </c>
      <c r="H3" s="72">
        <v>336.34</v>
      </c>
      <c r="I3" s="72">
        <v>1206.8399999999999</v>
      </c>
      <c r="J3" s="72">
        <v>9924</v>
      </c>
      <c r="K3" s="72">
        <v>15131</v>
      </c>
      <c r="L3" s="72">
        <v>1025.8900000000001</v>
      </c>
      <c r="M3" s="354">
        <f>SUM(C6:L6)</f>
        <v>14</v>
      </c>
      <c r="O3" s="279">
        <v>13</v>
      </c>
    </row>
    <row r="4" spans="1:15" ht="30.75" customHeight="1" x14ac:dyDescent="0.25">
      <c r="A4" s="475"/>
      <c r="B4" s="83" t="s">
        <v>589</v>
      </c>
      <c r="C4" s="74">
        <f>C3/'[1]PRODUTIVIDADE IN 05-2017'!$A$3</f>
        <v>6.6388250000000006</v>
      </c>
      <c r="D4" s="74">
        <f>D3/'[1]PRODUTIVIDADE IN 05-2017'!$C$3</f>
        <v>0</v>
      </c>
      <c r="E4" s="74">
        <f>E3/'[1]PRODUTIVIDADE IN 05-2017'!$E$3</f>
        <v>0</v>
      </c>
      <c r="F4" s="74">
        <f>F3/'[1]PRODUTIVIDADE IN 05-2017'!$G$3</f>
        <v>0</v>
      </c>
      <c r="G4" s="74">
        <f>G3/'[1]PRODUTIVIDADE IN 05-2017'!$I$3</f>
        <v>0.84582000000000002</v>
      </c>
      <c r="H4" s="74">
        <f>H3/'[1]PRODUTIVIDADE IN 05-2017'!$K$3</f>
        <v>1.6817</v>
      </c>
      <c r="I4" s="74">
        <f>I3/'[1]PRODUTIVIDADE IN 05-2017'!$A$7</f>
        <v>0.67046666666666666</v>
      </c>
      <c r="J4" s="74">
        <f>J3/'[1]PRODUTIVIDADE IN 05-2017'!$C$7</f>
        <v>1.6539999999999999</v>
      </c>
      <c r="K4" s="74">
        <f>K3/'[1]PRODUTIVIDADE IN 05-2017'!$E$7</f>
        <v>0.15131</v>
      </c>
      <c r="L4" s="267">
        <f>L3/'[1]PRODUTIVIDADE IN 05-2017'!$G$7</f>
        <v>3.4196333333333335</v>
      </c>
      <c r="M4" s="355"/>
      <c r="O4" s="279"/>
    </row>
    <row r="5" spans="1:15" ht="30.75" customHeight="1" x14ac:dyDescent="0.25">
      <c r="A5" s="475"/>
      <c r="B5" s="83" t="s">
        <v>590</v>
      </c>
      <c r="C5" s="269">
        <f>SUM(C4:H4)</f>
        <v>9.1663449999999997</v>
      </c>
      <c r="D5" s="270"/>
      <c r="E5" s="270"/>
      <c r="F5" s="270"/>
      <c r="G5" s="270"/>
      <c r="H5" s="271"/>
      <c r="I5" s="269">
        <f>SUM(I4:K4)</f>
        <v>2.4757766666666665</v>
      </c>
      <c r="J5" s="270"/>
      <c r="K5" s="271"/>
      <c r="L5" s="268"/>
      <c r="M5" s="355"/>
      <c r="O5" s="279"/>
    </row>
    <row r="6" spans="1:15" ht="30.75" customHeight="1" x14ac:dyDescent="0.25">
      <c r="A6" s="475"/>
      <c r="B6" s="83" t="s">
        <v>591</v>
      </c>
      <c r="C6" s="272">
        <v>9</v>
      </c>
      <c r="D6" s="273"/>
      <c r="E6" s="273"/>
      <c r="F6" s="273"/>
      <c r="G6" s="273"/>
      <c r="H6" s="274"/>
      <c r="I6" s="272">
        <v>2</v>
      </c>
      <c r="J6" s="273"/>
      <c r="K6" s="274"/>
      <c r="L6" s="75">
        <v>3</v>
      </c>
      <c r="M6" s="356"/>
      <c r="O6" s="279"/>
    </row>
    <row r="7" spans="1:15" ht="30.75" customHeight="1" x14ac:dyDescent="0.25">
      <c r="A7" s="477">
        <v>34</v>
      </c>
      <c r="B7" s="82" t="s">
        <v>628</v>
      </c>
      <c r="C7" s="89">
        <v>439</v>
      </c>
      <c r="D7" s="89">
        <v>0</v>
      </c>
      <c r="E7" s="89">
        <v>0</v>
      </c>
      <c r="F7" s="89">
        <v>0</v>
      </c>
      <c r="G7" s="89">
        <v>0</v>
      </c>
      <c r="H7" s="89">
        <v>17</v>
      </c>
      <c r="I7" s="89">
        <v>0</v>
      </c>
      <c r="J7" s="89">
        <v>0</v>
      </c>
      <c r="K7" s="89">
        <v>0</v>
      </c>
      <c r="L7" s="89">
        <v>0</v>
      </c>
      <c r="M7" s="295">
        <f>SUM(C10:L10)</f>
        <v>1</v>
      </c>
      <c r="O7" s="277">
        <v>1</v>
      </c>
    </row>
    <row r="8" spans="1:15" ht="30.75" customHeight="1" x14ac:dyDescent="0.25">
      <c r="A8" s="477"/>
      <c r="B8" s="82" t="s">
        <v>589</v>
      </c>
      <c r="C8" s="77">
        <f>C7/'[1]PRODUTIVIDADE IN 05-2017'!$A$3</f>
        <v>0.54874999999999996</v>
      </c>
      <c r="D8" s="77">
        <f>D7/'[1]PRODUTIVIDADE IN 05-2017'!$C$3</f>
        <v>0</v>
      </c>
      <c r="E8" s="77">
        <f>E7/'[1]PRODUTIVIDADE IN 05-2017'!$E$3</f>
        <v>0</v>
      </c>
      <c r="F8" s="77">
        <f>F7/'[1]PRODUTIVIDADE IN 05-2017'!$G$3</f>
        <v>0</v>
      </c>
      <c r="G8" s="77">
        <f>G7/'[1]PRODUTIVIDADE IN 05-2017'!$I$3</f>
        <v>0</v>
      </c>
      <c r="H8" s="77">
        <f>H7/'[1]PRODUTIVIDADE IN 05-2017'!$K$3</f>
        <v>8.5000000000000006E-2</v>
      </c>
      <c r="I8" s="77">
        <f>I7/'[1]PRODUTIVIDADE IN 05-2017'!$A$7</f>
        <v>0</v>
      </c>
      <c r="J8" s="77">
        <f>J7/'[1]PRODUTIVIDADE IN 05-2017'!$C$7</f>
        <v>0</v>
      </c>
      <c r="K8" s="77">
        <f>K7/'[1]PRODUTIVIDADE IN 05-2017'!$E$7</f>
        <v>0</v>
      </c>
      <c r="L8" s="298">
        <f>L7/'[1]PRODUTIVIDADE IN 05-2017'!$G$7</f>
        <v>0</v>
      </c>
      <c r="M8" s="296"/>
      <c r="O8" s="277"/>
    </row>
    <row r="9" spans="1:15" ht="30.75" customHeight="1" x14ac:dyDescent="0.25">
      <c r="A9" s="477"/>
      <c r="B9" s="82" t="s">
        <v>590</v>
      </c>
      <c r="C9" s="300">
        <f>SUM(C8:H8)</f>
        <v>0.63374999999999992</v>
      </c>
      <c r="D9" s="301"/>
      <c r="E9" s="301"/>
      <c r="F9" s="301"/>
      <c r="G9" s="301"/>
      <c r="H9" s="302"/>
      <c r="I9" s="300">
        <f>SUM(I8:K8)</f>
        <v>0</v>
      </c>
      <c r="J9" s="301"/>
      <c r="K9" s="302"/>
      <c r="L9" s="299"/>
      <c r="M9" s="296"/>
      <c r="O9" s="277"/>
    </row>
    <row r="10" spans="1:15" ht="30.75" customHeight="1" x14ac:dyDescent="0.25">
      <c r="A10" s="477"/>
      <c r="B10" s="82" t="s">
        <v>591</v>
      </c>
      <c r="C10" s="303">
        <v>1</v>
      </c>
      <c r="D10" s="304"/>
      <c r="E10" s="304"/>
      <c r="F10" s="304"/>
      <c r="G10" s="304"/>
      <c r="H10" s="305"/>
      <c r="I10" s="303">
        <v>0</v>
      </c>
      <c r="J10" s="304"/>
      <c r="K10" s="305"/>
      <c r="L10" s="78">
        <v>0</v>
      </c>
      <c r="M10" s="297"/>
      <c r="O10" s="277"/>
    </row>
    <row r="11" spans="1:15" ht="30.75" customHeight="1" x14ac:dyDescent="0.25">
      <c r="A11" s="475">
        <v>35</v>
      </c>
      <c r="B11" s="83" t="s">
        <v>629</v>
      </c>
      <c r="C11" s="90">
        <v>1311.93</v>
      </c>
      <c r="D11" s="90">
        <v>0</v>
      </c>
      <c r="E11" s="90">
        <v>0</v>
      </c>
      <c r="F11" s="90">
        <v>0</v>
      </c>
      <c r="G11" s="90">
        <v>80</v>
      </c>
      <c r="H11" s="90">
        <v>45.07</v>
      </c>
      <c r="I11" s="90">
        <v>0</v>
      </c>
      <c r="J11" s="90">
        <v>0</v>
      </c>
      <c r="K11" s="90">
        <v>0</v>
      </c>
      <c r="L11" s="90">
        <v>149.29</v>
      </c>
      <c r="M11" s="357">
        <f>SUM(C14:L14)</f>
        <v>2</v>
      </c>
      <c r="O11" s="280">
        <v>2</v>
      </c>
    </row>
    <row r="12" spans="1:15" ht="30.75" customHeight="1" x14ac:dyDescent="0.25">
      <c r="A12" s="475"/>
      <c r="B12" s="83" t="s">
        <v>589</v>
      </c>
      <c r="C12" s="74">
        <f>C11/'[1]PRODUTIVIDADE IN 05-2017'!$A$3</f>
        <v>1.6399125000000001</v>
      </c>
      <c r="D12" s="74">
        <f>D11/'[1]PRODUTIVIDADE IN 05-2017'!$C$3</f>
        <v>0</v>
      </c>
      <c r="E12" s="74">
        <f>E11/'[1]PRODUTIVIDADE IN 05-2017'!$E$3</f>
        <v>0</v>
      </c>
      <c r="F12" s="74">
        <f>F11/'[1]PRODUTIVIDADE IN 05-2017'!$G$3</f>
        <v>0</v>
      </c>
      <c r="G12" s="74">
        <f>G11/'[1]PRODUTIVIDADE IN 05-2017'!$I$3</f>
        <v>0.08</v>
      </c>
      <c r="H12" s="74">
        <f>H11/'[1]PRODUTIVIDADE IN 05-2017'!$K$3</f>
        <v>0.22534999999999999</v>
      </c>
      <c r="I12" s="74">
        <f>I11/'[1]PRODUTIVIDADE IN 05-2017'!$A$7</f>
        <v>0</v>
      </c>
      <c r="J12" s="74">
        <f>J11/'[1]PRODUTIVIDADE IN 05-2017'!$C$7</f>
        <v>0</v>
      </c>
      <c r="K12" s="74">
        <f>K11/'[1]PRODUTIVIDADE IN 05-2017'!$E$7</f>
        <v>0</v>
      </c>
      <c r="L12" s="267">
        <f>L11/'[1]PRODUTIVIDADE IN 05-2017'!$G$7</f>
        <v>0.49763333333333332</v>
      </c>
      <c r="M12" s="358"/>
      <c r="O12" s="280"/>
    </row>
    <row r="13" spans="1:15" ht="30.75" customHeight="1" x14ac:dyDescent="0.25">
      <c r="A13" s="475"/>
      <c r="B13" s="83" t="s">
        <v>590</v>
      </c>
      <c r="C13" s="269">
        <f>SUM(C12:H12)</f>
        <v>1.9452625000000001</v>
      </c>
      <c r="D13" s="270"/>
      <c r="E13" s="270"/>
      <c r="F13" s="270"/>
      <c r="G13" s="270"/>
      <c r="H13" s="271"/>
      <c r="I13" s="269">
        <f>SUM(I12:K12)</f>
        <v>0</v>
      </c>
      <c r="J13" s="270"/>
      <c r="K13" s="271"/>
      <c r="L13" s="268"/>
      <c r="M13" s="358"/>
      <c r="O13" s="280"/>
    </row>
    <row r="14" spans="1:15" ht="30.75" customHeight="1" x14ac:dyDescent="0.25">
      <c r="A14" s="475"/>
      <c r="B14" s="83" t="s">
        <v>591</v>
      </c>
      <c r="C14" s="272">
        <v>2</v>
      </c>
      <c r="D14" s="273"/>
      <c r="E14" s="273"/>
      <c r="F14" s="273"/>
      <c r="G14" s="273"/>
      <c r="H14" s="274"/>
      <c r="I14" s="272">
        <v>0</v>
      </c>
      <c r="J14" s="273"/>
      <c r="K14" s="274"/>
      <c r="L14" s="75">
        <v>0</v>
      </c>
      <c r="M14" s="359"/>
      <c r="O14" s="280"/>
    </row>
    <row r="15" spans="1:15" ht="30.75" customHeight="1" x14ac:dyDescent="0.25">
      <c r="A15" s="477">
        <v>36</v>
      </c>
      <c r="B15" s="81" t="s">
        <v>630</v>
      </c>
      <c r="C15" s="91">
        <v>5484.19</v>
      </c>
      <c r="D15" s="91">
        <v>0</v>
      </c>
      <c r="E15" s="91">
        <v>50</v>
      </c>
      <c r="F15" s="91">
        <v>0</v>
      </c>
      <c r="G15" s="91">
        <v>958</v>
      </c>
      <c r="H15" s="91">
        <v>437.67</v>
      </c>
      <c r="I15" s="91">
        <v>608.70000000000005</v>
      </c>
      <c r="J15" s="91">
        <v>2132.23</v>
      </c>
      <c r="K15" s="91">
        <v>62877</v>
      </c>
      <c r="L15" s="91">
        <v>743.99</v>
      </c>
      <c r="M15" s="312">
        <f>SUM(C18:L18)</f>
        <v>13</v>
      </c>
      <c r="O15" s="275">
        <v>11</v>
      </c>
    </row>
    <row r="16" spans="1:15" ht="30.75" customHeight="1" x14ac:dyDescent="0.25">
      <c r="A16" s="477"/>
      <c r="B16" s="82" t="s">
        <v>589</v>
      </c>
      <c r="C16" s="77">
        <f>C15/'[1]PRODUTIVIDADE IN 05-2017'!$A$3</f>
        <v>6.8552374999999994</v>
      </c>
      <c r="D16" s="77">
        <f>D15/'[1]PRODUTIVIDADE IN 05-2017'!$C$3</f>
        <v>0</v>
      </c>
      <c r="E16" s="77">
        <f>E15/'[1]PRODUTIVIDADE IN 05-2017'!$E$3</f>
        <v>3.3333333333333333E-2</v>
      </c>
      <c r="F16" s="77">
        <f>F15/'[1]PRODUTIVIDADE IN 05-2017'!$G$3</f>
        <v>0</v>
      </c>
      <c r="G16" s="77">
        <f>G15/'[1]PRODUTIVIDADE IN 05-2017'!$I$3</f>
        <v>0.95799999999999996</v>
      </c>
      <c r="H16" s="77">
        <f>H15/'[1]PRODUTIVIDADE IN 05-2017'!$K$3</f>
        <v>2.1883500000000002</v>
      </c>
      <c r="I16" s="77">
        <f>I15/'[1]PRODUTIVIDADE IN 05-2017'!$A$7</f>
        <v>0.33816666666666667</v>
      </c>
      <c r="J16" s="77">
        <f>J15/'[1]PRODUTIVIDADE IN 05-2017'!$C$7</f>
        <v>0.3553716666666667</v>
      </c>
      <c r="K16" s="77">
        <f>K15/'[1]PRODUTIVIDADE IN 05-2017'!$E$7</f>
        <v>0.62877000000000005</v>
      </c>
      <c r="L16" s="298">
        <f>L15/'[1]PRODUTIVIDADE IN 05-2017'!$G$7</f>
        <v>2.4799666666666669</v>
      </c>
      <c r="M16" s="313"/>
      <c r="O16" s="275"/>
    </row>
    <row r="17" spans="1:15" ht="30.75" customHeight="1" x14ac:dyDescent="0.25">
      <c r="A17" s="477"/>
      <c r="B17" s="82" t="s">
        <v>590</v>
      </c>
      <c r="C17" s="300">
        <f>SUM(C16:H16)</f>
        <v>10.034920833333333</v>
      </c>
      <c r="D17" s="301"/>
      <c r="E17" s="301"/>
      <c r="F17" s="301"/>
      <c r="G17" s="301"/>
      <c r="H17" s="302"/>
      <c r="I17" s="300">
        <f>SUM(I16:K16)</f>
        <v>1.3223083333333334</v>
      </c>
      <c r="J17" s="301"/>
      <c r="K17" s="302"/>
      <c r="L17" s="299"/>
      <c r="M17" s="313"/>
      <c r="O17" s="275"/>
    </row>
    <row r="18" spans="1:15" ht="30.75" customHeight="1" x14ac:dyDescent="0.25">
      <c r="A18" s="477"/>
      <c r="B18" s="82" t="s">
        <v>591</v>
      </c>
      <c r="C18" s="303">
        <v>10</v>
      </c>
      <c r="D18" s="304"/>
      <c r="E18" s="304"/>
      <c r="F18" s="304"/>
      <c r="G18" s="304"/>
      <c r="H18" s="305"/>
      <c r="I18" s="303">
        <v>1</v>
      </c>
      <c r="J18" s="304"/>
      <c r="K18" s="305"/>
      <c r="L18" s="78">
        <v>2</v>
      </c>
      <c r="M18" s="314"/>
      <c r="O18" s="275"/>
    </row>
    <row r="19" spans="1:15" ht="30.75" customHeight="1" x14ac:dyDescent="0.25">
      <c r="A19" s="476">
        <v>37</v>
      </c>
      <c r="B19" s="83" t="s">
        <v>631</v>
      </c>
      <c r="C19" s="90">
        <v>1532.5</v>
      </c>
      <c r="D19" s="90">
        <v>0</v>
      </c>
      <c r="E19" s="90">
        <v>39.9</v>
      </c>
      <c r="F19" s="90">
        <v>0</v>
      </c>
      <c r="G19" s="90">
        <v>438.8</v>
      </c>
      <c r="H19" s="90">
        <v>340.2</v>
      </c>
      <c r="I19" s="90">
        <v>551.20000000000005</v>
      </c>
      <c r="J19" s="90">
        <v>3197.7</v>
      </c>
      <c r="K19" s="90">
        <v>1003.1</v>
      </c>
      <c r="L19" s="90">
        <v>334.4</v>
      </c>
      <c r="M19" s="360">
        <f>SUM(C22:L22)</f>
        <v>6</v>
      </c>
      <c r="O19" s="279">
        <v>5</v>
      </c>
    </row>
    <row r="20" spans="1:15" ht="30.75" customHeight="1" x14ac:dyDescent="0.25">
      <c r="A20" s="476"/>
      <c r="B20" s="83" t="s">
        <v>589</v>
      </c>
      <c r="C20" s="74">
        <f>C19/'[1]PRODUTIVIDADE IN 05-2017'!$A$3</f>
        <v>1.9156249999999999</v>
      </c>
      <c r="D20" s="74">
        <f>D19/'[1]PRODUTIVIDADE IN 05-2017'!$C$3</f>
        <v>0</v>
      </c>
      <c r="E20" s="74">
        <f>E19/'[1]PRODUTIVIDADE IN 05-2017'!$E$3</f>
        <v>2.6599999999999999E-2</v>
      </c>
      <c r="F20" s="74">
        <f>F19/'[1]PRODUTIVIDADE IN 05-2017'!$G$3</f>
        <v>0</v>
      </c>
      <c r="G20" s="74">
        <f>G19/'[1]PRODUTIVIDADE IN 05-2017'!$I$3</f>
        <v>0.43880000000000002</v>
      </c>
      <c r="H20" s="74">
        <f>H19/'[1]PRODUTIVIDADE IN 05-2017'!$K$3</f>
        <v>1.7009999999999998</v>
      </c>
      <c r="I20" s="74">
        <f>I19/'[1]PRODUTIVIDADE IN 05-2017'!$A$7</f>
        <v>0.30622222222222223</v>
      </c>
      <c r="J20" s="74">
        <f>J19/'[1]PRODUTIVIDADE IN 05-2017'!$C$7</f>
        <v>0.53294999999999992</v>
      </c>
      <c r="K20" s="74">
        <f>K19/'[1]PRODUTIVIDADE IN 05-2017'!$E$7</f>
        <v>1.0031E-2</v>
      </c>
      <c r="L20" s="267">
        <f>L19/'[1]PRODUTIVIDADE IN 05-2017'!$G$7</f>
        <v>1.1146666666666667</v>
      </c>
      <c r="M20" s="361"/>
      <c r="O20" s="279"/>
    </row>
    <row r="21" spans="1:15" ht="30.75" customHeight="1" x14ac:dyDescent="0.25">
      <c r="A21" s="476"/>
      <c r="B21" s="83" t="s">
        <v>590</v>
      </c>
      <c r="C21" s="269">
        <f>SUM(C20:H20)</f>
        <v>4.0820249999999998</v>
      </c>
      <c r="D21" s="270"/>
      <c r="E21" s="270"/>
      <c r="F21" s="270"/>
      <c r="G21" s="270"/>
      <c r="H21" s="271"/>
      <c r="I21" s="269">
        <f>SUM(I20:K20)</f>
        <v>0.84920322222222222</v>
      </c>
      <c r="J21" s="270"/>
      <c r="K21" s="271"/>
      <c r="L21" s="268"/>
      <c r="M21" s="361"/>
      <c r="O21" s="279"/>
    </row>
    <row r="22" spans="1:15" ht="30.75" customHeight="1" x14ac:dyDescent="0.25">
      <c r="A22" s="476"/>
      <c r="B22" s="83" t="s">
        <v>591</v>
      </c>
      <c r="C22" s="272">
        <v>4</v>
      </c>
      <c r="D22" s="273"/>
      <c r="E22" s="273"/>
      <c r="F22" s="273"/>
      <c r="G22" s="273"/>
      <c r="H22" s="274"/>
      <c r="I22" s="272">
        <v>1</v>
      </c>
      <c r="J22" s="273"/>
      <c r="K22" s="274"/>
      <c r="L22" s="75">
        <v>1</v>
      </c>
      <c r="M22" s="362"/>
      <c r="O22" s="279"/>
    </row>
    <row r="23" spans="1:15" ht="30.75" customHeight="1" x14ac:dyDescent="0.25">
      <c r="A23" s="477">
        <v>38</v>
      </c>
      <c r="B23" s="81" t="s">
        <v>632</v>
      </c>
      <c r="C23" s="91">
        <v>776.01</v>
      </c>
      <c r="D23" s="91">
        <v>0</v>
      </c>
      <c r="E23" s="91">
        <v>102.5</v>
      </c>
      <c r="F23" s="91">
        <v>0</v>
      </c>
      <c r="G23" s="91">
        <v>1157.08</v>
      </c>
      <c r="H23" s="91">
        <v>43.75</v>
      </c>
      <c r="I23" s="91">
        <v>253.76</v>
      </c>
      <c r="J23" s="91">
        <v>1267</v>
      </c>
      <c r="K23" s="91">
        <v>15237</v>
      </c>
      <c r="L23" s="91">
        <v>272.27</v>
      </c>
      <c r="M23" s="295">
        <f>SUM(C26:L26)</f>
        <v>3</v>
      </c>
      <c r="O23" s="278">
        <v>3</v>
      </c>
    </row>
    <row r="24" spans="1:15" ht="30.75" customHeight="1" x14ac:dyDescent="0.25">
      <c r="A24" s="477"/>
      <c r="B24" s="82" t="s">
        <v>589</v>
      </c>
      <c r="C24" s="77">
        <f>C23/'[1]PRODUTIVIDADE IN 05-2017'!$A$3</f>
        <v>0.97001249999999994</v>
      </c>
      <c r="D24" s="77">
        <f>D23/'[1]PRODUTIVIDADE IN 05-2017'!$C$3</f>
        <v>0</v>
      </c>
      <c r="E24" s="77">
        <f>E23/'[1]PRODUTIVIDADE IN 05-2017'!$E$3</f>
        <v>6.8333333333333329E-2</v>
      </c>
      <c r="F24" s="77">
        <f>F23/'[1]PRODUTIVIDADE IN 05-2017'!$G$3</f>
        <v>0</v>
      </c>
      <c r="G24" s="77">
        <f>G23/'[1]PRODUTIVIDADE IN 05-2017'!$I$3</f>
        <v>1.1570799999999999</v>
      </c>
      <c r="H24" s="77">
        <f>H23/'[1]PRODUTIVIDADE IN 05-2017'!$K$3</f>
        <v>0.21875</v>
      </c>
      <c r="I24" s="77">
        <f>I23/'[1]PRODUTIVIDADE IN 05-2017'!$A$7</f>
        <v>0.14097777777777779</v>
      </c>
      <c r="J24" s="77">
        <f>J23/'[1]PRODUTIVIDADE IN 05-2017'!$C$7</f>
        <v>0.21116666666666667</v>
      </c>
      <c r="K24" s="77">
        <f>K23/'[1]PRODUTIVIDADE IN 05-2017'!$E$7</f>
        <v>0.15237000000000001</v>
      </c>
      <c r="L24" s="298">
        <f>L23/'[1]PRODUTIVIDADE IN 05-2017'!$G$7</f>
        <v>0.90756666666666663</v>
      </c>
      <c r="M24" s="296"/>
      <c r="O24" s="278"/>
    </row>
    <row r="25" spans="1:15" ht="30.75" customHeight="1" x14ac:dyDescent="0.25">
      <c r="A25" s="477"/>
      <c r="B25" s="82" t="s">
        <v>590</v>
      </c>
      <c r="C25" s="300">
        <f>SUM(C24:H24)</f>
        <v>2.4141758333333332</v>
      </c>
      <c r="D25" s="301"/>
      <c r="E25" s="301"/>
      <c r="F25" s="301"/>
      <c r="G25" s="301"/>
      <c r="H25" s="302"/>
      <c r="I25" s="300">
        <f>SUM(I24:K24)</f>
        <v>0.50451444444444449</v>
      </c>
      <c r="J25" s="301"/>
      <c r="K25" s="302"/>
      <c r="L25" s="299"/>
      <c r="M25" s="296"/>
      <c r="O25" s="278"/>
    </row>
    <row r="26" spans="1:15" ht="30.75" customHeight="1" x14ac:dyDescent="0.25">
      <c r="A26" s="477"/>
      <c r="B26" s="82" t="s">
        <v>591</v>
      </c>
      <c r="C26" s="303">
        <v>2</v>
      </c>
      <c r="D26" s="304"/>
      <c r="E26" s="304"/>
      <c r="F26" s="304"/>
      <c r="G26" s="304"/>
      <c r="H26" s="305"/>
      <c r="I26" s="303">
        <v>0</v>
      </c>
      <c r="J26" s="304"/>
      <c r="K26" s="305"/>
      <c r="L26" s="78">
        <v>1</v>
      </c>
      <c r="M26" s="297"/>
      <c r="O26" s="278"/>
    </row>
    <row r="27" spans="1:15" ht="30.75" customHeight="1" x14ac:dyDescent="0.25">
      <c r="A27" s="476">
        <v>39</v>
      </c>
      <c r="B27" s="83" t="s">
        <v>633</v>
      </c>
      <c r="C27" s="90">
        <v>2075.91</v>
      </c>
      <c r="D27" s="90">
        <v>72</v>
      </c>
      <c r="E27" s="90">
        <v>80</v>
      </c>
      <c r="F27" s="90">
        <v>1258</v>
      </c>
      <c r="G27" s="90">
        <v>0</v>
      </c>
      <c r="H27" s="90">
        <v>300.08999999999997</v>
      </c>
      <c r="I27" s="90">
        <v>906</v>
      </c>
      <c r="J27" s="90">
        <v>8172</v>
      </c>
      <c r="K27" s="90">
        <v>24990</v>
      </c>
      <c r="L27" s="90">
        <v>442</v>
      </c>
      <c r="M27" s="357">
        <f>SUM(C30:L30)</f>
        <v>8</v>
      </c>
      <c r="O27" s="280">
        <v>8</v>
      </c>
    </row>
    <row r="28" spans="1:15" ht="30.75" customHeight="1" x14ac:dyDescent="0.25">
      <c r="A28" s="476"/>
      <c r="B28" s="83" t="s">
        <v>589</v>
      </c>
      <c r="C28" s="74">
        <f>C27/'[1]PRODUTIVIDADE IN 05-2017'!$A$3</f>
        <v>2.5948875</v>
      </c>
      <c r="D28" s="74">
        <f>D27/'[1]PRODUTIVIDADE IN 05-2017'!$C$3</f>
        <v>0.2</v>
      </c>
      <c r="E28" s="74">
        <f>E27/'[1]PRODUTIVIDADE IN 05-2017'!$E$3</f>
        <v>5.3333333333333337E-2</v>
      </c>
      <c r="F28" s="74">
        <f>F27/'[1]PRODUTIVIDADE IN 05-2017'!$G$3</f>
        <v>1.0483333333333333</v>
      </c>
      <c r="G28" s="74">
        <f>G27/'[1]PRODUTIVIDADE IN 05-2017'!$I$3</f>
        <v>0</v>
      </c>
      <c r="H28" s="74">
        <f>H27/'[1]PRODUTIVIDADE IN 05-2017'!$K$3</f>
        <v>1.5004499999999998</v>
      </c>
      <c r="I28" s="74">
        <f>I27/'[1]PRODUTIVIDADE IN 05-2017'!$A$7</f>
        <v>0.5033333333333333</v>
      </c>
      <c r="J28" s="74">
        <f>J27/'[1]PRODUTIVIDADE IN 05-2017'!$C$7</f>
        <v>1.3620000000000001</v>
      </c>
      <c r="K28" s="74">
        <f>K27/'[1]PRODUTIVIDADE IN 05-2017'!$E$7</f>
        <v>0.24990000000000001</v>
      </c>
      <c r="L28" s="267">
        <f>L27/'[1]PRODUTIVIDADE IN 05-2017'!$G$7</f>
        <v>1.4733333333333334</v>
      </c>
      <c r="M28" s="358"/>
      <c r="O28" s="280"/>
    </row>
    <row r="29" spans="1:15" ht="30.75" customHeight="1" x14ac:dyDescent="0.25">
      <c r="A29" s="476"/>
      <c r="B29" s="83" t="s">
        <v>590</v>
      </c>
      <c r="C29" s="269">
        <f>SUM(C28:H28)</f>
        <v>5.397004166666667</v>
      </c>
      <c r="D29" s="270"/>
      <c r="E29" s="270"/>
      <c r="F29" s="270"/>
      <c r="G29" s="270"/>
      <c r="H29" s="271"/>
      <c r="I29" s="269">
        <f>SUM(I28:K28)</f>
        <v>2.1152333333333333</v>
      </c>
      <c r="J29" s="270"/>
      <c r="K29" s="271"/>
      <c r="L29" s="268"/>
      <c r="M29" s="358"/>
      <c r="O29" s="280"/>
    </row>
    <row r="30" spans="1:15" ht="30.75" customHeight="1" x14ac:dyDescent="0.25">
      <c r="A30" s="476"/>
      <c r="B30" s="83" t="s">
        <v>591</v>
      </c>
      <c r="C30" s="272">
        <v>5</v>
      </c>
      <c r="D30" s="273"/>
      <c r="E30" s="273"/>
      <c r="F30" s="273"/>
      <c r="G30" s="273"/>
      <c r="H30" s="274"/>
      <c r="I30" s="272">
        <v>2</v>
      </c>
      <c r="J30" s="273"/>
      <c r="K30" s="274"/>
      <c r="L30" s="75">
        <v>1</v>
      </c>
      <c r="M30" s="359"/>
      <c r="O30" s="280"/>
    </row>
    <row r="31" spans="1:15" ht="30.75" customHeight="1" x14ac:dyDescent="0.25">
      <c r="A31" s="477">
        <v>40</v>
      </c>
      <c r="B31" s="81" t="s">
        <v>634</v>
      </c>
      <c r="C31" s="91">
        <v>362.08</v>
      </c>
      <c r="D31" s="91">
        <v>68.760000000000005</v>
      </c>
      <c r="E31" s="91">
        <v>174.96</v>
      </c>
      <c r="F31" s="91">
        <v>0</v>
      </c>
      <c r="G31" s="91">
        <v>0</v>
      </c>
      <c r="H31" s="91">
        <v>25.37</v>
      </c>
      <c r="I31" s="169">
        <v>1697.67</v>
      </c>
      <c r="J31" s="91">
        <v>220.58</v>
      </c>
      <c r="K31" s="91">
        <v>819</v>
      </c>
      <c r="L31" s="91">
        <v>56.6</v>
      </c>
      <c r="M31" s="312">
        <f>SUM(C34:L34)</f>
        <v>2</v>
      </c>
      <c r="O31" s="278">
        <v>2</v>
      </c>
    </row>
    <row r="32" spans="1:15" ht="30.75" customHeight="1" x14ac:dyDescent="0.25">
      <c r="A32" s="477"/>
      <c r="B32" s="82" t="s">
        <v>589</v>
      </c>
      <c r="C32" s="77">
        <f>C31/'[1]PRODUTIVIDADE IN 05-2017'!$A$3</f>
        <v>0.4526</v>
      </c>
      <c r="D32" s="77">
        <f>D31/'[1]PRODUTIVIDADE IN 05-2017'!$C$3</f>
        <v>0.191</v>
      </c>
      <c r="E32" s="77">
        <f>E31/'[1]PRODUTIVIDADE IN 05-2017'!$E$3</f>
        <v>0.11664000000000001</v>
      </c>
      <c r="F32" s="77">
        <f>F31/'[1]PRODUTIVIDADE IN 05-2017'!$G$3</f>
        <v>0</v>
      </c>
      <c r="G32" s="77">
        <f>G31/'[1]PRODUTIVIDADE IN 05-2017'!$I$3</f>
        <v>0</v>
      </c>
      <c r="H32" s="77">
        <f>H31/'[1]PRODUTIVIDADE IN 05-2017'!$K$3</f>
        <v>0.12685000000000002</v>
      </c>
      <c r="I32" s="77">
        <f>I31/'[1]PRODUTIVIDADE IN 05-2017'!$A$7</f>
        <v>0.94315000000000004</v>
      </c>
      <c r="J32" s="77">
        <f>J31/'[1]PRODUTIVIDADE IN 05-2017'!$C$7</f>
        <v>3.6763333333333335E-2</v>
      </c>
      <c r="K32" s="77">
        <f>K31/'[1]PRODUTIVIDADE IN 05-2017'!$E$7</f>
        <v>8.1899999999999994E-3</v>
      </c>
      <c r="L32" s="298">
        <f>L31/'[1]PRODUTIVIDADE IN 05-2017'!$G$7</f>
        <v>0.18866666666666668</v>
      </c>
      <c r="M32" s="313"/>
      <c r="O32" s="278"/>
    </row>
    <row r="33" spans="1:15" ht="30.75" customHeight="1" x14ac:dyDescent="0.25">
      <c r="A33" s="477"/>
      <c r="B33" s="82" t="s">
        <v>590</v>
      </c>
      <c r="C33" s="300">
        <f>SUM(C32:H32)</f>
        <v>0.88708999999999993</v>
      </c>
      <c r="D33" s="301"/>
      <c r="E33" s="301"/>
      <c r="F33" s="301"/>
      <c r="G33" s="301"/>
      <c r="H33" s="302"/>
      <c r="I33" s="300">
        <f>SUM(I32:K32)</f>
        <v>0.98810333333333344</v>
      </c>
      <c r="J33" s="301"/>
      <c r="K33" s="302"/>
      <c r="L33" s="299"/>
      <c r="M33" s="313"/>
      <c r="O33" s="278"/>
    </row>
    <row r="34" spans="1:15" ht="30.75" customHeight="1" x14ac:dyDescent="0.25">
      <c r="A34" s="477"/>
      <c r="B34" s="82" t="s">
        <v>591</v>
      </c>
      <c r="C34" s="303">
        <v>1</v>
      </c>
      <c r="D34" s="304"/>
      <c r="E34" s="304"/>
      <c r="F34" s="304"/>
      <c r="G34" s="304"/>
      <c r="H34" s="305"/>
      <c r="I34" s="303">
        <v>1</v>
      </c>
      <c r="J34" s="304"/>
      <c r="K34" s="305"/>
      <c r="L34" s="78">
        <v>0</v>
      </c>
      <c r="M34" s="314"/>
      <c r="O34" s="278"/>
    </row>
    <row r="35" spans="1:15" ht="30.75" customHeight="1" x14ac:dyDescent="0.25">
      <c r="A35" s="476">
        <v>41</v>
      </c>
      <c r="B35" s="83" t="s">
        <v>635</v>
      </c>
      <c r="C35" s="90">
        <v>756.1</v>
      </c>
      <c r="D35" s="90">
        <v>0</v>
      </c>
      <c r="E35" s="90">
        <v>0</v>
      </c>
      <c r="F35" s="90">
        <v>0</v>
      </c>
      <c r="G35" s="90">
        <v>1481.5</v>
      </c>
      <c r="H35" s="90">
        <v>212.7</v>
      </c>
      <c r="I35" s="90">
        <v>390</v>
      </c>
      <c r="J35" s="90">
        <v>1339</v>
      </c>
      <c r="K35" s="90">
        <v>4000</v>
      </c>
      <c r="L35" s="92">
        <v>919.5</v>
      </c>
      <c r="M35" s="357">
        <f>SUM(C38:L38)</f>
        <v>6</v>
      </c>
      <c r="O35" s="280">
        <v>6</v>
      </c>
    </row>
    <row r="36" spans="1:15" ht="30.75" customHeight="1" x14ac:dyDescent="0.25">
      <c r="A36" s="476"/>
      <c r="B36" s="83" t="s">
        <v>589</v>
      </c>
      <c r="C36" s="74">
        <f>C35/'[1]PRODUTIVIDADE IN 05-2017'!$A$3</f>
        <v>0.94512499999999999</v>
      </c>
      <c r="D36" s="74">
        <f>D35/'[1]PRODUTIVIDADE IN 05-2017'!$C$3</f>
        <v>0</v>
      </c>
      <c r="E36" s="74">
        <f>E35/'[1]PRODUTIVIDADE IN 05-2017'!$E$3</f>
        <v>0</v>
      </c>
      <c r="F36" s="74">
        <f>F35/'[1]PRODUTIVIDADE IN 05-2017'!$G$3</f>
        <v>0</v>
      </c>
      <c r="G36" s="74">
        <f>G35/'[1]PRODUTIVIDADE IN 05-2017'!$I$3</f>
        <v>1.4815</v>
      </c>
      <c r="H36" s="74">
        <f>H35/'[1]PRODUTIVIDADE IN 05-2017'!$K$3</f>
        <v>1.0634999999999999</v>
      </c>
      <c r="I36" s="74">
        <f>I35/'[1]PRODUTIVIDADE IN 05-2017'!$A$7</f>
        <v>0.21666666666666667</v>
      </c>
      <c r="J36" s="74">
        <f>J35/'[1]PRODUTIVIDADE IN 05-2017'!$C$7</f>
        <v>0.22316666666666668</v>
      </c>
      <c r="K36" s="74">
        <f>K35/'[1]PRODUTIVIDADE IN 05-2017'!$E$7</f>
        <v>0.04</v>
      </c>
      <c r="L36" s="363">
        <f>L35/'[1]PRODUTIVIDADE IN 05-2017'!$G$7</f>
        <v>3.0649999999999999</v>
      </c>
      <c r="M36" s="358"/>
      <c r="O36" s="280"/>
    </row>
    <row r="37" spans="1:15" ht="30.75" customHeight="1" x14ac:dyDescent="0.25">
      <c r="A37" s="476"/>
      <c r="B37" s="83" t="s">
        <v>590</v>
      </c>
      <c r="C37" s="269">
        <f>SUM(C36:H36)</f>
        <v>3.4901249999999999</v>
      </c>
      <c r="D37" s="270"/>
      <c r="E37" s="270"/>
      <c r="F37" s="270"/>
      <c r="G37" s="270"/>
      <c r="H37" s="271"/>
      <c r="I37" s="269">
        <f>SUM(I36:K36)</f>
        <v>0.47983333333333333</v>
      </c>
      <c r="J37" s="270"/>
      <c r="K37" s="271"/>
      <c r="L37" s="364"/>
      <c r="M37" s="358"/>
      <c r="O37" s="280"/>
    </row>
    <row r="38" spans="1:15" ht="30.75" customHeight="1" x14ac:dyDescent="0.25">
      <c r="A38" s="476"/>
      <c r="B38" s="83" t="s">
        <v>591</v>
      </c>
      <c r="C38" s="272">
        <v>3</v>
      </c>
      <c r="D38" s="273"/>
      <c r="E38" s="273"/>
      <c r="F38" s="273"/>
      <c r="G38" s="273"/>
      <c r="H38" s="274"/>
      <c r="I38" s="272">
        <v>0</v>
      </c>
      <c r="J38" s="273"/>
      <c r="K38" s="274"/>
      <c r="L38" s="93">
        <v>3</v>
      </c>
      <c r="M38" s="359"/>
      <c r="O38" s="280"/>
    </row>
    <row r="39" spans="1:15" ht="30.75" customHeight="1" x14ac:dyDescent="0.25">
      <c r="A39" s="477">
        <v>42</v>
      </c>
      <c r="B39" s="82" t="s">
        <v>636</v>
      </c>
      <c r="C39" s="185">
        <v>427</v>
      </c>
      <c r="D39" s="164">
        <v>0</v>
      </c>
      <c r="E39" s="164">
        <v>25.6</v>
      </c>
      <c r="F39" s="164">
        <v>0</v>
      </c>
      <c r="G39" s="164">
        <v>12</v>
      </c>
      <c r="H39" s="164">
        <v>33</v>
      </c>
      <c r="I39" s="164">
        <v>168</v>
      </c>
      <c r="J39" s="164">
        <v>336</v>
      </c>
      <c r="K39" s="164">
        <v>234</v>
      </c>
      <c r="L39" s="164">
        <v>106.8</v>
      </c>
      <c r="M39" s="312">
        <f>SUM(C42:L42)</f>
        <v>1</v>
      </c>
      <c r="O39" s="277">
        <v>1</v>
      </c>
    </row>
    <row r="40" spans="1:15" ht="30.75" customHeight="1" x14ac:dyDescent="0.25">
      <c r="A40" s="477"/>
      <c r="B40" s="82" t="s">
        <v>589</v>
      </c>
      <c r="C40" s="77">
        <f>C39/'[1]PRODUTIVIDADE IN 05-2017'!$A$3</f>
        <v>0.53374999999999995</v>
      </c>
      <c r="D40" s="77">
        <f>D39/'[1]PRODUTIVIDADE IN 05-2017'!$C$3</f>
        <v>0</v>
      </c>
      <c r="E40" s="77">
        <f>E39/'[1]PRODUTIVIDADE IN 05-2017'!$E$3</f>
        <v>1.7066666666666667E-2</v>
      </c>
      <c r="F40" s="77">
        <f>F39/'[1]PRODUTIVIDADE IN 05-2017'!$G$3</f>
        <v>0</v>
      </c>
      <c r="G40" s="77">
        <f>G39/'[1]PRODUTIVIDADE IN 05-2017'!$I$3</f>
        <v>1.2E-2</v>
      </c>
      <c r="H40" s="77">
        <f>H39/'[1]PRODUTIVIDADE IN 05-2017'!$K$3</f>
        <v>0.16500000000000001</v>
      </c>
      <c r="I40" s="77">
        <f>I39/'[1]PRODUTIVIDADE IN 05-2017'!$A$7</f>
        <v>9.3333333333333338E-2</v>
      </c>
      <c r="J40" s="77">
        <f>J39/'[1]PRODUTIVIDADE IN 05-2017'!$C$7</f>
        <v>5.6000000000000001E-2</v>
      </c>
      <c r="K40" s="77">
        <f>K39/'[1]PRODUTIVIDADE IN 05-2017'!$E$7</f>
        <v>2.3400000000000001E-3</v>
      </c>
      <c r="L40" s="298">
        <f>L39/'[1]PRODUTIVIDADE IN 05-2017'!$G$7</f>
        <v>0.35599999999999998</v>
      </c>
      <c r="M40" s="313"/>
      <c r="O40" s="277"/>
    </row>
    <row r="41" spans="1:15" ht="30.75" customHeight="1" x14ac:dyDescent="0.25">
      <c r="A41" s="477"/>
      <c r="B41" s="82" t="s">
        <v>590</v>
      </c>
      <c r="C41" s="300">
        <f>SUM(C40:H40)</f>
        <v>0.72781666666666667</v>
      </c>
      <c r="D41" s="301"/>
      <c r="E41" s="301"/>
      <c r="F41" s="301"/>
      <c r="G41" s="301"/>
      <c r="H41" s="302"/>
      <c r="I41" s="300">
        <f>SUM(I40:K40)</f>
        <v>0.15167333333333335</v>
      </c>
      <c r="J41" s="301"/>
      <c r="K41" s="302"/>
      <c r="L41" s="299"/>
      <c r="M41" s="313"/>
      <c r="O41" s="277"/>
    </row>
    <row r="42" spans="1:15" ht="30.75" customHeight="1" x14ac:dyDescent="0.25">
      <c r="A42" s="477"/>
      <c r="B42" s="82" t="s">
        <v>591</v>
      </c>
      <c r="C42" s="303">
        <v>1</v>
      </c>
      <c r="D42" s="304"/>
      <c r="E42" s="304"/>
      <c r="F42" s="304"/>
      <c r="G42" s="304"/>
      <c r="H42" s="305"/>
      <c r="I42" s="303">
        <v>0</v>
      </c>
      <c r="J42" s="304"/>
      <c r="K42" s="305"/>
      <c r="L42" s="78">
        <v>0</v>
      </c>
      <c r="M42" s="314"/>
      <c r="O42" s="277"/>
    </row>
    <row r="43" spans="1:15" ht="30.75" customHeight="1" x14ac:dyDescent="0.25">
      <c r="A43" s="476">
        <v>43</v>
      </c>
      <c r="B43" s="84" t="s">
        <v>637</v>
      </c>
      <c r="C43" s="165">
        <v>1015.92</v>
      </c>
      <c r="D43" s="165">
        <v>0</v>
      </c>
      <c r="E43" s="165">
        <v>38.659999999999997</v>
      </c>
      <c r="F43" s="165">
        <v>0</v>
      </c>
      <c r="G43" s="165">
        <v>139.63</v>
      </c>
      <c r="H43" s="165">
        <v>42.08</v>
      </c>
      <c r="I43" s="165">
        <v>732</v>
      </c>
      <c r="J43" s="165">
        <v>424</v>
      </c>
      <c r="K43" s="165">
        <v>9</v>
      </c>
      <c r="L43" s="165">
        <v>133.28</v>
      </c>
      <c r="M43" s="360">
        <f>SUM(C46:L46)</f>
        <v>2</v>
      </c>
      <c r="O43" s="280">
        <v>2</v>
      </c>
    </row>
    <row r="44" spans="1:15" ht="30.75" customHeight="1" x14ac:dyDescent="0.25">
      <c r="A44" s="476"/>
      <c r="B44" s="84" t="s">
        <v>589</v>
      </c>
      <c r="C44" s="85">
        <f>C43/'[1]PRODUTIVIDADE IN 05-2017'!$A$3</f>
        <v>1.2699</v>
      </c>
      <c r="D44" s="85">
        <f>D43/'[1]PRODUTIVIDADE IN 05-2017'!$C$3</f>
        <v>0</v>
      </c>
      <c r="E44" s="85">
        <f>E43/'[1]PRODUTIVIDADE IN 05-2017'!$E$3</f>
        <v>2.5773333333333332E-2</v>
      </c>
      <c r="F44" s="85">
        <f>F43/'[1]PRODUTIVIDADE IN 05-2017'!$G$3</f>
        <v>0</v>
      </c>
      <c r="G44" s="85">
        <f>G43/'[1]PRODUTIVIDADE IN 05-2017'!$I$3</f>
        <v>0.13963</v>
      </c>
      <c r="H44" s="85">
        <f>H43/'[1]PRODUTIVIDADE IN 05-2017'!$K$3</f>
        <v>0.2104</v>
      </c>
      <c r="I44" s="85">
        <f>I43/'[1]PRODUTIVIDADE IN 05-2017'!$A$7</f>
        <v>0.40666666666666668</v>
      </c>
      <c r="J44" s="85">
        <f>J43/'[1]PRODUTIVIDADE IN 05-2017'!$C$7</f>
        <v>7.0666666666666669E-2</v>
      </c>
      <c r="K44" s="85">
        <f>K43/'[1]PRODUTIVIDADE IN 05-2017'!$E$7</f>
        <v>9.0000000000000006E-5</v>
      </c>
      <c r="L44" s="365">
        <f>L43/'[1]PRODUTIVIDADE IN 05-2017'!$G$7</f>
        <v>0.44426666666666664</v>
      </c>
      <c r="M44" s="361"/>
      <c r="O44" s="280"/>
    </row>
    <row r="45" spans="1:15" ht="30.75" customHeight="1" x14ac:dyDescent="0.25">
      <c r="A45" s="476"/>
      <c r="B45" s="84" t="s">
        <v>590</v>
      </c>
      <c r="C45" s="367">
        <f>SUM(C44:H44)</f>
        <v>1.6457033333333333</v>
      </c>
      <c r="D45" s="368"/>
      <c r="E45" s="368"/>
      <c r="F45" s="368"/>
      <c r="G45" s="368"/>
      <c r="H45" s="369"/>
      <c r="I45" s="367">
        <f>SUM(I44:K44)</f>
        <v>0.47742333333333331</v>
      </c>
      <c r="J45" s="368"/>
      <c r="K45" s="369"/>
      <c r="L45" s="366"/>
      <c r="M45" s="361"/>
      <c r="O45" s="280"/>
    </row>
    <row r="46" spans="1:15" ht="30.75" customHeight="1" thickBot="1" x14ac:dyDescent="0.3">
      <c r="A46" s="476"/>
      <c r="B46" s="84" t="s">
        <v>591</v>
      </c>
      <c r="C46" s="370">
        <v>2</v>
      </c>
      <c r="D46" s="371"/>
      <c r="E46" s="371"/>
      <c r="F46" s="371"/>
      <c r="G46" s="371"/>
      <c r="H46" s="372"/>
      <c r="I46" s="370">
        <v>0</v>
      </c>
      <c r="J46" s="371"/>
      <c r="K46" s="372"/>
      <c r="L46" s="166">
        <v>0</v>
      </c>
      <c r="M46" s="362"/>
      <c r="O46" s="280"/>
    </row>
    <row r="47" spans="1:15" ht="70.5" customHeight="1" x14ac:dyDescent="0.25">
      <c r="A47" s="284" t="s">
        <v>574</v>
      </c>
      <c r="B47" s="286" t="s">
        <v>575</v>
      </c>
      <c r="C47" s="288" t="s">
        <v>576</v>
      </c>
      <c r="D47" s="288"/>
      <c r="E47" s="288"/>
      <c r="F47" s="288"/>
      <c r="G47" s="288"/>
      <c r="H47" s="288"/>
      <c r="I47" s="289" t="s">
        <v>577</v>
      </c>
      <c r="J47" s="289"/>
      <c r="K47" s="289"/>
      <c r="L47" s="65" t="s">
        <v>568</v>
      </c>
      <c r="M47" s="187" t="s">
        <v>578</v>
      </c>
      <c r="O47" s="188"/>
    </row>
    <row r="48" spans="1:15" ht="30.75" customHeight="1" thickBot="1" x14ac:dyDescent="0.3">
      <c r="A48" s="353"/>
      <c r="B48" s="287"/>
      <c r="C48" s="67" t="s">
        <v>580</v>
      </c>
      <c r="D48" s="67" t="s">
        <v>626</v>
      </c>
      <c r="E48" s="67" t="s">
        <v>581</v>
      </c>
      <c r="F48" s="67" t="s">
        <v>563</v>
      </c>
      <c r="G48" s="67" t="s">
        <v>582</v>
      </c>
      <c r="H48" s="67" t="s">
        <v>565</v>
      </c>
      <c r="I48" s="68" t="s">
        <v>583</v>
      </c>
      <c r="J48" s="68" t="s">
        <v>584</v>
      </c>
      <c r="K48" s="68" t="s">
        <v>585</v>
      </c>
      <c r="L48" s="69" t="s">
        <v>586</v>
      </c>
      <c r="M48" s="70" t="s">
        <v>587</v>
      </c>
      <c r="O48" s="188"/>
    </row>
    <row r="49" spans="1:15" ht="30.75" customHeight="1" x14ac:dyDescent="0.25">
      <c r="A49" s="477">
        <v>44</v>
      </c>
      <c r="B49" s="82" t="s">
        <v>740</v>
      </c>
      <c r="C49" s="164">
        <v>875.89</v>
      </c>
      <c r="D49" s="164">
        <v>0</v>
      </c>
      <c r="E49" s="164">
        <v>55</v>
      </c>
      <c r="F49" s="164">
        <v>0</v>
      </c>
      <c r="G49" s="164">
        <v>798.86</v>
      </c>
      <c r="H49" s="164">
        <v>113.51</v>
      </c>
      <c r="I49" s="164">
        <v>608</v>
      </c>
      <c r="J49" s="164">
        <v>955</v>
      </c>
      <c r="K49" s="164">
        <v>273</v>
      </c>
      <c r="L49" s="186">
        <v>398.6</v>
      </c>
      <c r="M49" s="295">
        <f>SUM(C52:L52)</f>
        <v>3</v>
      </c>
      <c r="O49" s="275">
        <v>4</v>
      </c>
    </row>
    <row r="50" spans="1:15" ht="30.75" customHeight="1" x14ac:dyDescent="0.25">
      <c r="A50" s="477"/>
      <c r="B50" s="82" t="s">
        <v>589</v>
      </c>
      <c r="C50" s="77">
        <f>C49/'[1]PRODUTIVIDADE IN 05-2017'!$A$3</f>
        <v>1.0948625000000001</v>
      </c>
      <c r="D50" s="77">
        <f>D49/'[1]PRODUTIVIDADE IN 05-2017'!$C$3</f>
        <v>0</v>
      </c>
      <c r="E50" s="77">
        <f>E49/'[1]PRODUTIVIDADE IN 05-2017'!$E$3</f>
        <v>3.6666666666666667E-2</v>
      </c>
      <c r="F50" s="77">
        <f>F49/'[1]PRODUTIVIDADE IN 05-2017'!$G$3</f>
        <v>0</v>
      </c>
      <c r="G50" s="77">
        <f>G49/'[1]PRODUTIVIDADE IN 05-2017'!$I$3</f>
        <v>0.79886000000000001</v>
      </c>
      <c r="H50" s="77">
        <f>H49/'[1]PRODUTIVIDADE IN 05-2017'!$K$3</f>
        <v>0.56755</v>
      </c>
      <c r="I50" s="77">
        <f>I49/'[1]PRODUTIVIDADE IN 05-2017'!$A$7</f>
        <v>0.33777777777777779</v>
      </c>
      <c r="J50" s="77">
        <f>J49/'[1]PRODUTIVIDADE IN 05-2017'!$C$7</f>
        <v>0.15916666666666668</v>
      </c>
      <c r="K50" s="77">
        <f>K49/'[1]PRODUTIVIDADE IN 05-2017'!$E$7</f>
        <v>2.7299999999999998E-3</v>
      </c>
      <c r="L50" s="298">
        <f>L49/'[1]PRODUTIVIDADE IN 05-2017'!$G$7</f>
        <v>1.3286666666666667</v>
      </c>
      <c r="M50" s="296"/>
      <c r="O50" s="275"/>
    </row>
    <row r="51" spans="1:15" ht="30.75" customHeight="1" x14ac:dyDescent="0.25">
      <c r="A51" s="477"/>
      <c r="B51" s="82" t="s">
        <v>590</v>
      </c>
      <c r="C51" s="300">
        <f>SUM(C50:H50)</f>
        <v>2.4979391666666668</v>
      </c>
      <c r="D51" s="301"/>
      <c r="E51" s="301"/>
      <c r="F51" s="301"/>
      <c r="G51" s="301"/>
      <c r="H51" s="302"/>
      <c r="I51" s="300">
        <f>SUM(I50:K50)</f>
        <v>0.49967444444444448</v>
      </c>
      <c r="J51" s="301"/>
      <c r="K51" s="302"/>
      <c r="L51" s="299"/>
      <c r="M51" s="296"/>
      <c r="O51" s="275"/>
    </row>
    <row r="52" spans="1:15" ht="30.75" customHeight="1" x14ac:dyDescent="0.25">
      <c r="A52" s="477"/>
      <c r="B52" s="82" t="s">
        <v>591</v>
      </c>
      <c r="C52" s="303">
        <v>2</v>
      </c>
      <c r="D52" s="304"/>
      <c r="E52" s="304"/>
      <c r="F52" s="304"/>
      <c r="G52" s="304"/>
      <c r="H52" s="305"/>
      <c r="I52" s="303">
        <v>0</v>
      </c>
      <c r="J52" s="304"/>
      <c r="K52" s="305"/>
      <c r="L52" s="78">
        <v>1</v>
      </c>
      <c r="M52" s="297"/>
      <c r="O52" s="275"/>
    </row>
    <row r="53" spans="1:15" ht="30.75" customHeight="1" x14ac:dyDescent="0.25">
      <c r="A53" s="478">
        <v>45</v>
      </c>
      <c r="B53" s="84" t="s">
        <v>638</v>
      </c>
      <c r="C53" s="165">
        <v>1370.96</v>
      </c>
      <c r="D53" s="165">
        <v>0</v>
      </c>
      <c r="E53" s="165">
        <v>895</v>
      </c>
      <c r="F53" s="165">
        <v>0</v>
      </c>
      <c r="G53" s="165">
        <v>62</v>
      </c>
      <c r="H53" s="165">
        <v>82.12</v>
      </c>
      <c r="I53" s="165">
        <v>473.12</v>
      </c>
      <c r="J53" s="165">
        <v>1555</v>
      </c>
      <c r="K53" s="165">
        <v>800</v>
      </c>
      <c r="L53" s="165">
        <v>93.8</v>
      </c>
      <c r="M53" s="360">
        <f>SUM(C56:L56)</f>
        <v>4</v>
      </c>
      <c r="O53" s="276">
        <v>4</v>
      </c>
    </row>
    <row r="54" spans="1:15" ht="30.75" customHeight="1" x14ac:dyDescent="0.25">
      <c r="A54" s="478"/>
      <c r="B54" s="84" t="s">
        <v>589</v>
      </c>
      <c r="C54" s="85">
        <f>C53/'[1]PRODUTIVIDADE IN 05-2017'!$A$3</f>
        <v>1.7137</v>
      </c>
      <c r="D54" s="85">
        <f>D53/'[1]PRODUTIVIDADE IN 05-2017'!$C$3</f>
        <v>0</v>
      </c>
      <c r="E54" s="85">
        <f>E53/'[1]PRODUTIVIDADE IN 05-2017'!$E$3</f>
        <v>0.59666666666666668</v>
      </c>
      <c r="F54" s="85">
        <f>F53/'[1]PRODUTIVIDADE IN 05-2017'!$G$3</f>
        <v>0</v>
      </c>
      <c r="G54" s="85">
        <f>G53/'[1]PRODUTIVIDADE IN 05-2017'!$I$3</f>
        <v>6.2E-2</v>
      </c>
      <c r="H54" s="85">
        <f>H53/'[1]PRODUTIVIDADE IN 05-2017'!$K$3</f>
        <v>0.41060000000000002</v>
      </c>
      <c r="I54" s="85">
        <f>I53/'[1]PRODUTIVIDADE IN 05-2017'!$A$7</f>
        <v>0.26284444444444444</v>
      </c>
      <c r="J54" s="85">
        <f>J53/'[1]PRODUTIVIDADE IN 05-2017'!$C$7</f>
        <v>0.25916666666666666</v>
      </c>
      <c r="K54" s="85">
        <f>K53/'[1]PRODUTIVIDADE IN 05-2017'!$E$7</f>
        <v>8.0000000000000002E-3</v>
      </c>
      <c r="L54" s="365">
        <f>L53/'[1]PRODUTIVIDADE IN 05-2017'!$G$7</f>
        <v>0.31266666666666665</v>
      </c>
      <c r="M54" s="361"/>
      <c r="O54" s="276"/>
    </row>
    <row r="55" spans="1:15" ht="30.75" customHeight="1" x14ac:dyDescent="0.25">
      <c r="A55" s="478"/>
      <c r="B55" s="84" t="s">
        <v>590</v>
      </c>
      <c r="C55" s="367">
        <f>SUM(C54:H54)</f>
        <v>2.7829666666666668</v>
      </c>
      <c r="D55" s="368"/>
      <c r="E55" s="368"/>
      <c r="F55" s="368"/>
      <c r="G55" s="368"/>
      <c r="H55" s="369"/>
      <c r="I55" s="367">
        <f>SUM(I54:K54)</f>
        <v>0.5300111111111111</v>
      </c>
      <c r="J55" s="368"/>
      <c r="K55" s="369"/>
      <c r="L55" s="366"/>
      <c r="M55" s="361"/>
      <c r="O55" s="276"/>
    </row>
    <row r="56" spans="1:15" ht="30.75" customHeight="1" x14ac:dyDescent="0.25">
      <c r="A56" s="478"/>
      <c r="B56" s="84" t="s">
        <v>591</v>
      </c>
      <c r="C56" s="370">
        <v>3</v>
      </c>
      <c r="D56" s="371"/>
      <c r="E56" s="371"/>
      <c r="F56" s="371"/>
      <c r="G56" s="371"/>
      <c r="H56" s="372"/>
      <c r="I56" s="370">
        <v>1</v>
      </c>
      <c r="J56" s="371"/>
      <c r="K56" s="372"/>
      <c r="L56" s="166">
        <v>0</v>
      </c>
      <c r="M56" s="362"/>
      <c r="O56" s="276"/>
    </row>
    <row r="57" spans="1:15" ht="30.75" customHeight="1" x14ac:dyDescent="0.25">
      <c r="A57" s="477">
        <v>46</v>
      </c>
      <c r="B57" s="82" t="s">
        <v>639</v>
      </c>
      <c r="C57" s="164">
        <v>167.01</v>
      </c>
      <c r="D57" s="164">
        <v>0</v>
      </c>
      <c r="E57" s="164">
        <v>420</v>
      </c>
      <c r="F57" s="164">
        <v>0</v>
      </c>
      <c r="G57" s="164">
        <v>0</v>
      </c>
      <c r="H57" s="164">
        <v>15</v>
      </c>
      <c r="I57" s="164">
        <v>113</v>
      </c>
      <c r="J57" s="164">
        <v>747</v>
      </c>
      <c r="K57" s="164">
        <v>160.30000000000001</v>
      </c>
      <c r="L57" s="164">
        <v>55</v>
      </c>
      <c r="M57" s="295">
        <f>SUM(C60:L60)</f>
        <v>1</v>
      </c>
      <c r="O57" s="277">
        <v>1</v>
      </c>
    </row>
    <row r="58" spans="1:15" ht="30.75" customHeight="1" x14ac:dyDescent="0.25">
      <c r="A58" s="477"/>
      <c r="B58" s="82" t="s">
        <v>589</v>
      </c>
      <c r="C58" s="77">
        <f>C57/'[1]PRODUTIVIDADE IN 05-2017'!$A$3</f>
        <v>0.20876249999999999</v>
      </c>
      <c r="D58" s="77">
        <f>D57/'[1]PRODUTIVIDADE IN 05-2017'!$C$3</f>
        <v>0</v>
      </c>
      <c r="E58" s="77">
        <f>E57/'[1]PRODUTIVIDADE IN 05-2017'!$E$3</f>
        <v>0.28000000000000003</v>
      </c>
      <c r="F58" s="77">
        <f>F57/'[1]PRODUTIVIDADE IN 05-2017'!$G$3</f>
        <v>0</v>
      </c>
      <c r="G58" s="77">
        <f>G57/'[1]PRODUTIVIDADE IN 05-2017'!$I$3</f>
        <v>0</v>
      </c>
      <c r="H58" s="77">
        <f>H57/'[1]PRODUTIVIDADE IN 05-2017'!$K$3</f>
        <v>7.4999999999999997E-2</v>
      </c>
      <c r="I58" s="77">
        <f>I57/'[1]PRODUTIVIDADE IN 05-2017'!$A$7</f>
        <v>6.277777777777778E-2</v>
      </c>
      <c r="J58" s="77">
        <f>J57/'[1]PRODUTIVIDADE IN 05-2017'!$C$7</f>
        <v>0.1245</v>
      </c>
      <c r="K58" s="77">
        <f>K57/'[1]PRODUTIVIDADE IN 05-2017'!$E$7</f>
        <v>1.603E-3</v>
      </c>
      <c r="L58" s="298">
        <f>L57/'[1]PRODUTIVIDADE IN 05-2017'!$G$7</f>
        <v>0.18333333333333332</v>
      </c>
      <c r="M58" s="296"/>
      <c r="O58" s="277"/>
    </row>
    <row r="59" spans="1:15" ht="30.75" customHeight="1" x14ac:dyDescent="0.25">
      <c r="A59" s="477"/>
      <c r="B59" s="82" t="s">
        <v>590</v>
      </c>
      <c r="C59" s="330">
        <f>SUM(C58:H58)</f>
        <v>0.56376249999999994</v>
      </c>
      <c r="D59" s="331"/>
      <c r="E59" s="331"/>
      <c r="F59" s="331"/>
      <c r="G59" s="331"/>
      <c r="H59" s="332"/>
      <c r="I59" s="330">
        <f>SUM(I58:K58)</f>
        <v>0.18888077777777776</v>
      </c>
      <c r="J59" s="331"/>
      <c r="K59" s="332"/>
      <c r="L59" s="299"/>
      <c r="M59" s="296"/>
      <c r="O59" s="277"/>
    </row>
    <row r="60" spans="1:15" ht="30" x14ac:dyDescent="0.25">
      <c r="A60" s="477"/>
      <c r="B60" s="151" t="s">
        <v>591</v>
      </c>
      <c r="C60" s="333">
        <v>1</v>
      </c>
      <c r="D60" s="333"/>
      <c r="E60" s="333"/>
      <c r="F60" s="333"/>
      <c r="G60" s="333"/>
      <c r="H60" s="333"/>
      <c r="I60" s="333">
        <v>0</v>
      </c>
      <c r="J60" s="333"/>
      <c r="K60" s="333"/>
      <c r="L60" s="167">
        <v>0</v>
      </c>
      <c r="M60" s="297"/>
      <c r="O60" s="277"/>
    </row>
    <row r="61" spans="1:15" ht="51.75" customHeight="1" x14ac:dyDescent="0.25">
      <c r="A61" s="339" t="s">
        <v>640</v>
      </c>
      <c r="B61" s="339"/>
      <c r="C61" s="339"/>
      <c r="D61" s="339"/>
      <c r="E61" s="339"/>
      <c r="F61" s="339"/>
      <c r="G61" s="339"/>
      <c r="H61" s="339"/>
      <c r="I61" s="339"/>
      <c r="J61" s="339"/>
      <c r="K61" s="339"/>
      <c r="L61" s="339"/>
      <c r="M61" s="87">
        <f>SUM(M3:M59)</f>
        <v>66</v>
      </c>
      <c r="O61" s="144">
        <f>SUM(O3:O60)</f>
        <v>63</v>
      </c>
    </row>
    <row r="62" spans="1:15" ht="23.25" customHeight="1" x14ac:dyDescent="0.25">
      <c r="A62" s="352" t="s">
        <v>641</v>
      </c>
      <c r="B62" s="352"/>
      <c r="C62" s="352"/>
      <c r="D62" s="352"/>
      <c r="E62" s="352"/>
      <c r="F62" s="352"/>
      <c r="G62" s="352"/>
      <c r="H62" s="352"/>
      <c r="I62" s="352"/>
      <c r="J62" s="352"/>
      <c r="K62" s="352"/>
      <c r="L62" s="352"/>
      <c r="M62" s="352"/>
    </row>
    <row r="63" spans="1:15" ht="24.75" customHeight="1" x14ac:dyDescent="0.25">
      <c r="A63" s="352" t="s">
        <v>747</v>
      </c>
      <c r="B63" s="352"/>
      <c r="C63" s="352"/>
      <c r="D63" s="352"/>
      <c r="E63" s="352"/>
      <c r="F63" s="352"/>
      <c r="G63" s="352"/>
      <c r="H63" s="352"/>
      <c r="I63" s="352"/>
      <c r="J63" s="352"/>
      <c r="K63" s="352"/>
      <c r="L63" s="352"/>
      <c r="M63" s="352"/>
    </row>
  </sheetData>
  <mergeCells count="123">
    <mergeCell ref="A61:L61"/>
    <mergeCell ref="A62:M62"/>
    <mergeCell ref="A57:A60"/>
    <mergeCell ref="M57:M60"/>
    <mergeCell ref="L58:L59"/>
    <mergeCell ref="C59:H59"/>
    <mergeCell ref="I59:K59"/>
    <mergeCell ref="C60:H60"/>
    <mergeCell ref="I60:K60"/>
    <mergeCell ref="C42:H42"/>
    <mergeCell ref="A53:A56"/>
    <mergeCell ref="M53:M56"/>
    <mergeCell ref="L54:L55"/>
    <mergeCell ref="C55:H55"/>
    <mergeCell ref="I55:K55"/>
    <mergeCell ref="C56:H56"/>
    <mergeCell ref="I56:K56"/>
    <mergeCell ref="A49:A52"/>
    <mergeCell ref="M49:M52"/>
    <mergeCell ref="L50:L51"/>
    <mergeCell ref="C51:H51"/>
    <mergeCell ref="I51:K51"/>
    <mergeCell ref="C52:H52"/>
    <mergeCell ref="I52:K52"/>
    <mergeCell ref="A47:A48"/>
    <mergeCell ref="B47:B48"/>
    <mergeCell ref="C47:H47"/>
    <mergeCell ref="I47:K47"/>
    <mergeCell ref="A35:A38"/>
    <mergeCell ref="M35:M38"/>
    <mergeCell ref="L36:L37"/>
    <mergeCell ref="C37:H37"/>
    <mergeCell ref="I37:K37"/>
    <mergeCell ref="C38:H38"/>
    <mergeCell ref="I38:K38"/>
    <mergeCell ref="I42:K42"/>
    <mergeCell ref="A43:A46"/>
    <mergeCell ref="M43:M46"/>
    <mergeCell ref="L44:L45"/>
    <mergeCell ref="C45:H45"/>
    <mergeCell ref="I45:K45"/>
    <mergeCell ref="C46:H46"/>
    <mergeCell ref="I46:K46"/>
    <mergeCell ref="A39:A42"/>
    <mergeCell ref="M39:M42"/>
    <mergeCell ref="L40:L41"/>
    <mergeCell ref="C41:H41"/>
    <mergeCell ref="I41:K41"/>
    <mergeCell ref="A31:A34"/>
    <mergeCell ref="M31:M34"/>
    <mergeCell ref="L32:L33"/>
    <mergeCell ref="C33:H33"/>
    <mergeCell ref="I33:K33"/>
    <mergeCell ref="C34:H34"/>
    <mergeCell ref="I34:K34"/>
    <mergeCell ref="A27:A30"/>
    <mergeCell ref="M27:M30"/>
    <mergeCell ref="L28:L29"/>
    <mergeCell ref="C29:H29"/>
    <mergeCell ref="I29:K29"/>
    <mergeCell ref="C30:H30"/>
    <mergeCell ref="I30:K30"/>
    <mergeCell ref="A23:A26"/>
    <mergeCell ref="M23:M26"/>
    <mergeCell ref="L24:L25"/>
    <mergeCell ref="C25:H25"/>
    <mergeCell ref="I25:K25"/>
    <mergeCell ref="C26:H26"/>
    <mergeCell ref="I26:K26"/>
    <mergeCell ref="A19:A22"/>
    <mergeCell ref="M19:M22"/>
    <mergeCell ref="L20:L21"/>
    <mergeCell ref="C21:H21"/>
    <mergeCell ref="I21:K21"/>
    <mergeCell ref="C22:H22"/>
    <mergeCell ref="I22:K22"/>
    <mergeCell ref="M15:M18"/>
    <mergeCell ref="L16:L17"/>
    <mergeCell ref="C17:H17"/>
    <mergeCell ref="I17:K17"/>
    <mergeCell ref="C18:H18"/>
    <mergeCell ref="I18:K18"/>
    <mergeCell ref="A11:A14"/>
    <mergeCell ref="M11:M14"/>
    <mergeCell ref="L12:L13"/>
    <mergeCell ref="C13:H13"/>
    <mergeCell ref="I13:K13"/>
    <mergeCell ref="C14:H14"/>
    <mergeCell ref="I14:K14"/>
    <mergeCell ref="A1:A2"/>
    <mergeCell ref="B1:B2"/>
    <mergeCell ref="C1:H1"/>
    <mergeCell ref="I1:K1"/>
    <mergeCell ref="A3:A6"/>
    <mergeCell ref="M3:M6"/>
    <mergeCell ref="L4:L5"/>
    <mergeCell ref="C5:H5"/>
    <mergeCell ref="I5:K5"/>
    <mergeCell ref="C6:H6"/>
    <mergeCell ref="A63:M63"/>
    <mergeCell ref="O39:O42"/>
    <mergeCell ref="O43:O46"/>
    <mergeCell ref="O49:O52"/>
    <mergeCell ref="O53:O56"/>
    <mergeCell ref="O57:O60"/>
    <mergeCell ref="O35:O38"/>
    <mergeCell ref="O3:O6"/>
    <mergeCell ref="O7:O10"/>
    <mergeCell ref="O11:O14"/>
    <mergeCell ref="O15:O18"/>
    <mergeCell ref="O19:O22"/>
    <mergeCell ref="O23:O26"/>
    <mergeCell ref="O27:O30"/>
    <mergeCell ref="O31:O34"/>
    <mergeCell ref="I6:K6"/>
    <mergeCell ref="A7:A10"/>
    <mergeCell ref="M7:M10"/>
    <mergeCell ref="L8:L9"/>
    <mergeCell ref="C9:H9"/>
    <mergeCell ref="I9:K9"/>
    <mergeCell ref="C10:H10"/>
    <mergeCell ref="I10:K10"/>
    <mergeCell ref="A15:A18"/>
  </mergeCells>
  <printOptions horizontalCentered="1"/>
  <pageMargins left="0.51181102362204722" right="0.51181102362204722" top="0.78740157480314965" bottom="0.39370078740157483" header="0.31496062992125984" footer="0.31496062992125984"/>
  <pageSetup paperSize="9" scale="53" fitToHeight="0" orientation="portrait" horizontalDpi="300" verticalDpi="300" r:id="rId1"/>
  <headerFooter>
    <oddHeader>&amp;C&amp;"Arial,Negrito"&amp;14&amp;UMEMORIA DE CÁLCULO DA QUANTIDADE DE POSTOS DE TRABALHO (SERVENTES) 
ITEM 2 - UNIDADES ADMINISTRATIVAS - SEGUNDA À SEXTA-FEIRA.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8759-6E31-4A7E-AC90-CCB08CCF5980}">
  <sheetPr>
    <pageSetUpPr fitToPage="1"/>
  </sheetPr>
  <dimension ref="A1:O63"/>
  <sheetViews>
    <sheetView zoomScaleNormal="100" workbookViewId="0">
      <pane xSplit="2" ySplit="2" topLeftCell="C3" activePane="bottomRight" state="frozen"/>
      <selection pane="topRight" activeCell="C1" sqref="C1"/>
      <selection pane="bottomLeft" activeCell="A3" sqref="A3"/>
      <selection pane="bottomRight" activeCell="M57" sqref="M57:M60"/>
    </sheetView>
  </sheetViews>
  <sheetFormatPr defaultRowHeight="15" x14ac:dyDescent="0.25"/>
  <cols>
    <col min="1" max="1" width="6.42578125" customWidth="1"/>
    <col min="2" max="2" width="21.42578125" customWidth="1"/>
    <col min="3" max="12" width="12.7109375" customWidth="1"/>
    <col min="13" max="13" width="20.85546875" customWidth="1"/>
    <col min="14" max="14" width="3.140625" customWidth="1"/>
    <col min="15" max="15" width="10.85546875" bestFit="1" customWidth="1"/>
  </cols>
  <sheetData>
    <row r="1" spans="1:15" ht="70.5" customHeight="1" x14ac:dyDescent="0.25">
      <c r="A1" s="284" t="s">
        <v>574</v>
      </c>
      <c r="B1" s="286" t="s">
        <v>575</v>
      </c>
      <c r="C1" s="288" t="s">
        <v>576</v>
      </c>
      <c r="D1" s="288"/>
      <c r="E1" s="288"/>
      <c r="F1" s="288"/>
      <c r="G1" s="288"/>
      <c r="H1" s="288"/>
      <c r="I1" s="289" t="s">
        <v>577</v>
      </c>
      <c r="J1" s="289"/>
      <c r="K1" s="289"/>
      <c r="L1" s="65" t="s">
        <v>568</v>
      </c>
      <c r="M1" s="177" t="s">
        <v>578</v>
      </c>
      <c r="O1" s="142" t="s">
        <v>579</v>
      </c>
    </row>
    <row r="2" spans="1:15" ht="30.75" thickBot="1" x14ac:dyDescent="0.3">
      <c r="A2" s="353"/>
      <c r="B2" s="287"/>
      <c r="C2" s="67" t="s">
        <v>580</v>
      </c>
      <c r="D2" s="67" t="s">
        <v>626</v>
      </c>
      <c r="E2" s="67" t="s">
        <v>581</v>
      </c>
      <c r="F2" s="67" t="s">
        <v>563</v>
      </c>
      <c r="G2" s="67" t="s">
        <v>582</v>
      </c>
      <c r="H2" s="67" t="s">
        <v>565</v>
      </c>
      <c r="I2" s="68" t="s">
        <v>583</v>
      </c>
      <c r="J2" s="68" t="s">
        <v>584</v>
      </c>
      <c r="K2" s="68" t="s">
        <v>585</v>
      </c>
      <c r="L2" s="69" t="s">
        <v>586</v>
      </c>
      <c r="M2" s="70" t="s">
        <v>587</v>
      </c>
      <c r="O2" s="143" t="s">
        <v>587</v>
      </c>
    </row>
    <row r="3" spans="1:15" ht="30.75" customHeight="1" x14ac:dyDescent="0.25">
      <c r="A3" s="342">
        <v>33</v>
      </c>
      <c r="B3" s="130" t="s">
        <v>627</v>
      </c>
      <c r="C3" s="72">
        <v>5311.06</v>
      </c>
      <c r="D3" s="72">
        <v>0</v>
      </c>
      <c r="E3" s="72">
        <v>0</v>
      </c>
      <c r="F3" s="72">
        <v>0</v>
      </c>
      <c r="G3" s="72">
        <v>845.82</v>
      </c>
      <c r="H3" s="72">
        <v>336.34</v>
      </c>
      <c r="I3" s="72">
        <v>1206.8399999999999</v>
      </c>
      <c r="J3" s="72">
        <v>9924</v>
      </c>
      <c r="K3" s="72">
        <v>15131</v>
      </c>
      <c r="L3" s="72">
        <v>1025.8900000000001</v>
      </c>
      <c r="M3" s="354">
        <f>SUM(C6:L6)</f>
        <v>11</v>
      </c>
      <c r="O3" s="279">
        <v>13</v>
      </c>
    </row>
    <row r="4" spans="1:15" ht="30.75" customHeight="1" x14ac:dyDescent="0.25">
      <c r="A4" s="342"/>
      <c r="B4" s="83" t="s">
        <v>589</v>
      </c>
      <c r="C4" s="74">
        <f>C3/'PRODUTIVIDADE IN 05-2017'!$A$12</f>
        <v>4.4258833333333341</v>
      </c>
      <c r="D4" s="74">
        <f>D3/'PRODUTIVIDADE IN 05-2017'!$C$12</f>
        <v>0</v>
      </c>
      <c r="E4" s="74">
        <f>E3/'PRODUTIVIDADE IN 05-2017'!$E$12</f>
        <v>0</v>
      </c>
      <c r="F4" s="74">
        <f>F3/'PRODUTIVIDADE IN 05-2017'!$G$12</f>
        <v>0</v>
      </c>
      <c r="G4" s="74">
        <f>G3/'PRODUTIVIDADE IN 05-2017'!$I$12</f>
        <v>0.56388000000000005</v>
      </c>
      <c r="H4" s="74">
        <f>H3/'PRODUTIVIDADE IN 05-2017'!$K$12</f>
        <v>1.1211333333333333</v>
      </c>
      <c r="I4" s="74">
        <f>I3/'PRODUTIVIDADE IN 05-2017'!$A$16</f>
        <v>0.44697777777777775</v>
      </c>
      <c r="J4" s="74">
        <f>J3/'PRODUTIVIDADE IN 05-2017'!$C$16</f>
        <v>1.1026666666666667</v>
      </c>
      <c r="K4" s="74">
        <f>K3/'PRODUTIVIDADE IN 05-2017'!$E$16</f>
        <v>0.15131</v>
      </c>
      <c r="L4" s="267">
        <f>L3/'PRODUTIVIDADE IN 05-2017'!$G$16</f>
        <v>2.6997105263157897</v>
      </c>
      <c r="M4" s="355"/>
      <c r="O4" s="279"/>
    </row>
    <row r="5" spans="1:15" ht="30.75" customHeight="1" x14ac:dyDescent="0.25">
      <c r="A5" s="342"/>
      <c r="B5" s="83" t="s">
        <v>590</v>
      </c>
      <c r="C5" s="269">
        <f>SUM(C4:H4)</f>
        <v>6.1108966666666671</v>
      </c>
      <c r="D5" s="270"/>
      <c r="E5" s="270"/>
      <c r="F5" s="270"/>
      <c r="G5" s="270"/>
      <c r="H5" s="271"/>
      <c r="I5" s="269">
        <f>SUM(I4:K4)</f>
        <v>1.7009544444444444</v>
      </c>
      <c r="J5" s="270"/>
      <c r="K5" s="271"/>
      <c r="L5" s="268"/>
      <c r="M5" s="355"/>
      <c r="O5" s="279"/>
    </row>
    <row r="6" spans="1:15" ht="30.75" customHeight="1" x14ac:dyDescent="0.25">
      <c r="A6" s="342"/>
      <c r="B6" s="83" t="s">
        <v>591</v>
      </c>
      <c r="C6" s="272">
        <v>6</v>
      </c>
      <c r="D6" s="273"/>
      <c r="E6" s="273"/>
      <c r="F6" s="273"/>
      <c r="G6" s="273"/>
      <c r="H6" s="274"/>
      <c r="I6" s="272">
        <v>2</v>
      </c>
      <c r="J6" s="273"/>
      <c r="K6" s="274"/>
      <c r="L6" s="75">
        <v>3</v>
      </c>
      <c r="M6" s="356"/>
      <c r="O6" s="279"/>
    </row>
    <row r="7" spans="1:15" ht="30.75" customHeight="1" x14ac:dyDescent="0.25">
      <c r="A7" s="325">
        <v>34</v>
      </c>
      <c r="B7" s="82" t="s">
        <v>628</v>
      </c>
      <c r="C7" s="89">
        <v>439</v>
      </c>
      <c r="D7" s="89">
        <v>0</v>
      </c>
      <c r="E7" s="89">
        <v>0</v>
      </c>
      <c r="F7" s="89">
        <v>0</v>
      </c>
      <c r="G7" s="89">
        <v>0</v>
      </c>
      <c r="H7" s="89">
        <v>17</v>
      </c>
      <c r="I7" s="89">
        <v>0</v>
      </c>
      <c r="J7" s="89">
        <v>0</v>
      </c>
      <c r="K7" s="89">
        <v>0</v>
      </c>
      <c r="L7" s="89">
        <v>0</v>
      </c>
      <c r="M7" s="377">
        <f>SUM(C10:L10)</f>
        <v>0</v>
      </c>
      <c r="O7" s="277">
        <v>1</v>
      </c>
    </row>
    <row r="8" spans="1:15" ht="30.75" customHeight="1" x14ac:dyDescent="0.25">
      <c r="A8" s="325"/>
      <c r="B8" s="82" t="s">
        <v>589</v>
      </c>
      <c r="C8" s="77">
        <f>C7/'PRODUTIVIDADE IN 05-2017'!$A$12</f>
        <v>0.36583333333333334</v>
      </c>
      <c r="D8" s="77">
        <f>D7/'PRODUTIVIDADE IN 05-2017'!$C$12</f>
        <v>0</v>
      </c>
      <c r="E8" s="77">
        <f>E7/'PRODUTIVIDADE IN 05-2017'!$E$12</f>
        <v>0</v>
      </c>
      <c r="F8" s="77">
        <f>F7/'PRODUTIVIDADE IN 05-2017'!$G$12</f>
        <v>0</v>
      </c>
      <c r="G8" s="77">
        <f>G7/'PRODUTIVIDADE IN 05-2017'!$I$12</f>
        <v>0</v>
      </c>
      <c r="H8" s="77">
        <f>H7/'PRODUTIVIDADE IN 05-2017'!$K$12</f>
        <v>5.6666666666666664E-2</v>
      </c>
      <c r="I8" s="77">
        <f>I7/'PRODUTIVIDADE IN 05-2017'!$A$16</f>
        <v>0</v>
      </c>
      <c r="J8" s="77">
        <f>J7/'PRODUTIVIDADE IN 05-2017'!$C$16</f>
        <v>0</v>
      </c>
      <c r="K8" s="77">
        <f>K7/'PRODUTIVIDADE IN 05-2017'!$E$16</f>
        <v>0</v>
      </c>
      <c r="L8" s="298">
        <f>L7/'PRODUTIVIDADE IN 05-2017'!$G$16</f>
        <v>0</v>
      </c>
      <c r="M8" s="378"/>
      <c r="O8" s="277"/>
    </row>
    <row r="9" spans="1:15" ht="30.75" customHeight="1" x14ac:dyDescent="0.25">
      <c r="A9" s="325"/>
      <c r="B9" s="82" t="s">
        <v>590</v>
      </c>
      <c r="C9" s="300">
        <f>SUM(C8:H8)</f>
        <v>0.42249999999999999</v>
      </c>
      <c r="D9" s="301"/>
      <c r="E9" s="301"/>
      <c r="F9" s="301"/>
      <c r="G9" s="301"/>
      <c r="H9" s="302"/>
      <c r="I9" s="300">
        <f>SUM(I8:K8)</f>
        <v>0</v>
      </c>
      <c r="J9" s="301"/>
      <c r="K9" s="302"/>
      <c r="L9" s="299"/>
      <c r="M9" s="378"/>
      <c r="O9" s="277"/>
    </row>
    <row r="10" spans="1:15" ht="30.75" customHeight="1" x14ac:dyDescent="0.25">
      <c r="A10" s="325"/>
      <c r="B10" s="82" t="s">
        <v>591</v>
      </c>
      <c r="C10" s="303">
        <v>0</v>
      </c>
      <c r="D10" s="304"/>
      <c r="E10" s="304"/>
      <c r="F10" s="304"/>
      <c r="G10" s="304"/>
      <c r="H10" s="305"/>
      <c r="I10" s="303">
        <v>0</v>
      </c>
      <c r="J10" s="304"/>
      <c r="K10" s="305"/>
      <c r="L10" s="78">
        <v>0</v>
      </c>
      <c r="M10" s="379"/>
      <c r="O10" s="277"/>
    </row>
    <row r="11" spans="1:15" ht="30.75" customHeight="1" x14ac:dyDescent="0.25">
      <c r="A11" s="342">
        <v>35</v>
      </c>
      <c r="B11" s="83" t="s">
        <v>629</v>
      </c>
      <c r="C11" s="90">
        <v>1311.93</v>
      </c>
      <c r="D11" s="90">
        <v>0</v>
      </c>
      <c r="E11" s="90">
        <v>0</v>
      </c>
      <c r="F11" s="90">
        <v>0</v>
      </c>
      <c r="G11" s="90">
        <v>80</v>
      </c>
      <c r="H11" s="90">
        <v>45.07</v>
      </c>
      <c r="I11" s="90">
        <v>0</v>
      </c>
      <c r="J11" s="90">
        <v>0</v>
      </c>
      <c r="K11" s="90">
        <v>0</v>
      </c>
      <c r="L11" s="90">
        <v>149.29</v>
      </c>
      <c r="M11" s="357">
        <f>SUM(C14:L14)</f>
        <v>1</v>
      </c>
      <c r="O11" s="280">
        <v>2</v>
      </c>
    </row>
    <row r="12" spans="1:15" ht="30.75" customHeight="1" x14ac:dyDescent="0.25">
      <c r="A12" s="342"/>
      <c r="B12" s="83" t="s">
        <v>589</v>
      </c>
      <c r="C12" s="74">
        <f>C11/'PRODUTIVIDADE IN 05-2017'!$A$12</f>
        <v>1.093275</v>
      </c>
      <c r="D12" s="74">
        <f>D11/'PRODUTIVIDADE IN 05-2017'!$C$12</f>
        <v>0</v>
      </c>
      <c r="E12" s="74">
        <f>E11/'PRODUTIVIDADE IN 05-2017'!$E$12</f>
        <v>0</v>
      </c>
      <c r="F12" s="74">
        <f>F11/'PRODUTIVIDADE IN 05-2017'!$G$12</f>
        <v>0</v>
      </c>
      <c r="G12" s="74">
        <f>G11/'PRODUTIVIDADE IN 05-2017'!$I$12</f>
        <v>5.3333333333333337E-2</v>
      </c>
      <c r="H12" s="74">
        <f>H11/'PRODUTIVIDADE IN 05-2017'!$K$12</f>
        <v>0.15023333333333333</v>
      </c>
      <c r="I12" s="74">
        <f>I11/'PRODUTIVIDADE IN 05-2017'!$A$16</f>
        <v>0</v>
      </c>
      <c r="J12" s="74">
        <f>J11/'PRODUTIVIDADE IN 05-2017'!$C$16</f>
        <v>0</v>
      </c>
      <c r="K12" s="74">
        <f>K11/'PRODUTIVIDADE IN 05-2017'!$E$16</f>
        <v>0</v>
      </c>
      <c r="L12" s="267">
        <f>L11/'[1]PRODUTIVIDADE IN 05-2017'!$G$7</f>
        <v>0.49763333333333332</v>
      </c>
      <c r="M12" s="358"/>
      <c r="O12" s="280"/>
    </row>
    <row r="13" spans="1:15" ht="30.75" customHeight="1" x14ac:dyDescent="0.25">
      <c r="A13" s="342"/>
      <c r="B13" s="83" t="s">
        <v>590</v>
      </c>
      <c r="C13" s="269">
        <f>SUM(C12:H12)</f>
        <v>1.2968416666666664</v>
      </c>
      <c r="D13" s="270"/>
      <c r="E13" s="270"/>
      <c r="F13" s="270"/>
      <c r="G13" s="270"/>
      <c r="H13" s="271"/>
      <c r="I13" s="269">
        <f>SUM(I12:K12)</f>
        <v>0</v>
      </c>
      <c r="J13" s="270"/>
      <c r="K13" s="271"/>
      <c r="L13" s="268"/>
      <c r="M13" s="358"/>
      <c r="O13" s="280"/>
    </row>
    <row r="14" spans="1:15" ht="30.75" customHeight="1" x14ac:dyDescent="0.25">
      <c r="A14" s="342"/>
      <c r="B14" s="83" t="s">
        <v>591</v>
      </c>
      <c r="C14" s="272">
        <v>1</v>
      </c>
      <c r="D14" s="273"/>
      <c r="E14" s="273"/>
      <c r="F14" s="273"/>
      <c r="G14" s="273"/>
      <c r="H14" s="274"/>
      <c r="I14" s="272">
        <v>0</v>
      </c>
      <c r="J14" s="273"/>
      <c r="K14" s="274"/>
      <c r="L14" s="75">
        <v>0</v>
      </c>
      <c r="M14" s="359"/>
      <c r="O14" s="280"/>
    </row>
    <row r="15" spans="1:15" ht="30.75" customHeight="1" x14ac:dyDescent="0.25">
      <c r="A15" s="325">
        <v>36</v>
      </c>
      <c r="B15" s="81" t="s">
        <v>630</v>
      </c>
      <c r="C15" s="91">
        <v>5484.19</v>
      </c>
      <c r="D15" s="91">
        <v>0</v>
      </c>
      <c r="E15" s="91">
        <v>50</v>
      </c>
      <c r="F15" s="91">
        <v>0</v>
      </c>
      <c r="G15" s="91">
        <v>958</v>
      </c>
      <c r="H15" s="91">
        <v>437.67</v>
      </c>
      <c r="I15" s="91">
        <v>608.70000000000005</v>
      </c>
      <c r="J15" s="91">
        <v>2132.23</v>
      </c>
      <c r="K15" s="91">
        <v>62877</v>
      </c>
      <c r="L15" s="91">
        <v>743.99</v>
      </c>
      <c r="M15" s="312">
        <f>SUM(C18:L18)</f>
        <v>10</v>
      </c>
      <c r="O15" s="275">
        <v>11</v>
      </c>
    </row>
    <row r="16" spans="1:15" ht="30.75" customHeight="1" x14ac:dyDescent="0.25">
      <c r="A16" s="325"/>
      <c r="B16" s="82" t="s">
        <v>589</v>
      </c>
      <c r="C16" s="77">
        <f>C15/'PRODUTIVIDADE IN 05-2017'!$A$12</f>
        <v>4.5701583333333327</v>
      </c>
      <c r="D16" s="77">
        <f>D15/'PRODUTIVIDADE IN 05-2017'!$C$12</f>
        <v>0</v>
      </c>
      <c r="E16" s="77">
        <f>E15/'PRODUTIVIDADE IN 05-2017'!$E$12</f>
        <v>0.02</v>
      </c>
      <c r="F16" s="77">
        <f>F15/'PRODUTIVIDADE IN 05-2017'!$G$12</f>
        <v>0</v>
      </c>
      <c r="G16" s="77">
        <f>G15/'PRODUTIVIDADE IN 05-2017'!$I$12</f>
        <v>0.63866666666666672</v>
      </c>
      <c r="H16" s="77">
        <f>H15/'PRODUTIVIDADE IN 05-2017'!$K$12</f>
        <v>1.4589000000000001</v>
      </c>
      <c r="I16" s="77">
        <f>I15/'PRODUTIVIDADE IN 05-2017'!$A$16</f>
        <v>0.22544444444444448</v>
      </c>
      <c r="J16" s="77">
        <f>J15/'PRODUTIVIDADE IN 05-2017'!$C$16</f>
        <v>0.23691444444444446</v>
      </c>
      <c r="K16" s="77">
        <f>K15/'PRODUTIVIDADE IN 05-2017'!$E$16</f>
        <v>0.62877000000000005</v>
      </c>
      <c r="L16" s="298">
        <f>L15/'[1]PRODUTIVIDADE IN 05-2017'!$G$7</f>
        <v>2.4799666666666669</v>
      </c>
      <c r="M16" s="313"/>
      <c r="O16" s="275"/>
    </row>
    <row r="17" spans="1:15" ht="30.75" customHeight="1" x14ac:dyDescent="0.25">
      <c r="A17" s="325"/>
      <c r="B17" s="82" t="s">
        <v>590</v>
      </c>
      <c r="C17" s="300">
        <f>SUM(C16:H16)</f>
        <v>6.6877249999999986</v>
      </c>
      <c r="D17" s="301"/>
      <c r="E17" s="301"/>
      <c r="F17" s="301"/>
      <c r="G17" s="301"/>
      <c r="H17" s="302"/>
      <c r="I17" s="300">
        <f>SUM(I16:K16)</f>
        <v>1.091128888888889</v>
      </c>
      <c r="J17" s="301"/>
      <c r="K17" s="302"/>
      <c r="L17" s="299"/>
      <c r="M17" s="313"/>
      <c r="O17" s="275"/>
    </row>
    <row r="18" spans="1:15" ht="30.75" customHeight="1" x14ac:dyDescent="0.25">
      <c r="A18" s="325"/>
      <c r="B18" s="82" t="s">
        <v>591</v>
      </c>
      <c r="C18" s="303">
        <v>7</v>
      </c>
      <c r="D18" s="304"/>
      <c r="E18" s="304"/>
      <c r="F18" s="304"/>
      <c r="G18" s="304"/>
      <c r="H18" s="305"/>
      <c r="I18" s="303">
        <v>1</v>
      </c>
      <c r="J18" s="304"/>
      <c r="K18" s="305"/>
      <c r="L18" s="78">
        <v>2</v>
      </c>
      <c r="M18" s="314"/>
      <c r="O18" s="275"/>
    </row>
    <row r="19" spans="1:15" ht="30.75" customHeight="1" x14ac:dyDescent="0.25">
      <c r="A19" s="341">
        <v>37</v>
      </c>
      <c r="B19" s="83" t="s">
        <v>631</v>
      </c>
      <c r="C19" s="90">
        <v>1532.5</v>
      </c>
      <c r="D19" s="90">
        <v>0</v>
      </c>
      <c r="E19" s="90">
        <v>39.9</v>
      </c>
      <c r="F19" s="90">
        <v>0</v>
      </c>
      <c r="G19" s="90">
        <v>438.8</v>
      </c>
      <c r="H19" s="90">
        <v>340.2</v>
      </c>
      <c r="I19" s="90">
        <v>551.20000000000005</v>
      </c>
      <c r="J19" s="90">
        <v>3197.7</v>
      </c>
      <c r="K19" s="90">
        <v>1003.1</v>
      </c>
      <c r="L19" s="90">
        <v>334.4</v>
      </c>
      <c r="M19" s="360">
        <f>SUM(C22:L22)</f>
        <v>5</v>
      </c>
      <c r="O19" s="279">
        <v>5</v>
      </c>
    </row>
    <row r="20" spans="1:15" ht="30.75" customHeight="1" x14ac:dyDescent="0.25">
      <c r="A20" s="341"/>
      <c r="B20" s="83" t="s">
        <v>589</v>
      </c>
      <c r="C20" s="74">
        <f>C19/'PRODUTIVIDADE IN 05-2017'!$A$12</f>
        <v>1.2770833333333333</v>
      </c>
      <c r="D20" s="74">
        <f>D19/'PRODUTIVIDADE IN 05-2017'!$C$12</f>
        <v>0</v>
      </c>
      <c r="E20" s="74">
        <f>E19/'PRODUTIVIDADE IN 05-2017'!$E$12</f>
        <v>1.5959999999999998E-2</v>
      </c>
      <c r="F20" s="74">
        <f>F19/'PRODUTIVIDADE IN 05-2017'!$G$12</f>
        <v>0</v>
      </c>
      <c r="G20" s="74">
        <f>G19/'PRODUTIVIDADE IN 05-2017'!$I$12</f>
        <v>0.29253333333333337</v>
      </c>
      <c r="H20" s="74">
        <f>H19/'PRODUTIVIDADE IN 05-2017'!$K$12</f>
        <v>1.1339999999999999</v>
      </c>
      <c r="I20" s="74">
        <f>I19/'PRODUTIVIDADE IN 05-2017'!$A$16</f>
        <v>0.20414814814814816</v>
      </c>
      <c r="J20" s="74">
        <f>J19/'PRODUTIVIDADE IN 05-2017'!$C$16</f>
        <v>0.3553</v>
      </c>
      <c r="K20" s="74">
        <f>K19/'PRODUTIVIDADE IN 05-2017'!$E$16</f>
        <v>1.0031E-2</v>
      </c>
      <c r="L20" s="267">
        <f>L19/'[1]PRODUTIVIDADE IN 05-2017'!$G$7</f>
        <v>1.1146666666666667</v>
      </c>
      <c r="M20" s="361"/>
      <c r="O20" s="279"/>
    </row>
    <row r="21" spans="1:15" ht="30.75" customHeight="1" x14ac:dyDescent="0.25">
      <c r="A21" s="341"/>
      <c r="B21" s="83" t="s">
        <v>590</v>
      </c>
      <c r="C21" s="269">
        <f>SUM(C20:H20)</f>
        <v>2.7195766666666668</v>
      </c>
      <c r="D21" s="270"/>
      <c r="E21" s="270"/>
      <c r="F21" s="270"/>
      <c r="G21" s="270"/>
      <c r="H21" s="271"/>
      <c r="I21" s="269">
        <f>SUM(I20:K20)</f>
        <v>0.56947914814814815</v>
      </c>
      <c r="J21" s="270"/>
      <c r="K21" s="271"/>
      <c r="L21" s="268"/>
      <c r="M21" s="361"/>
      <c r="O21" s="279"/>
    </row>
    <row r="22" spans="1:15" ht="30.75" customHeight="1" x14ac:dyDescent="0.25">
      <c r="A22" s="341"/>
      <c r="B22" s="83" t="s">
        <v>591</v>
      </c>
      <c r="C22" s="272">
        <v>3</v>
      </c>
      <c r="D22" s="273"/>
      <c r="E22" s="273"/>
      <c r="F22" s="273"/>
      <c r="G22" s="273"/>
      <c r="H22" s="274"/>
      <c r="I22" s="272">
        <v>1</v>
      </c>
      <c r="J22" s="273"/>
      <c r="K22" s="274"/>
      <c r="L22" s="75">
        <v>1</v>
      </c>
      <c r="M22" s="362"/>
      <c r="O22" s="279"/>
    </row>
    <row r="23" spans="1:15" ht="30.75" customHeight="1" x14ac:dyDescent="0.25">
      <c r="A23" s="325">
        <v>38</v>
      </c>
      <c r="B23" s="81" t="s">
        <v>632</v>
      </c>
      <c r="C23" s="91">
        <v>776.01</v>
      </c>
      <c r="D23" s="91">
        <v>0</v>
      </c>
      <c r="E23" s="91">
        <v>102.5</v>
      </c>
      <c r="F23" s="91">
        <v>0</v>
      </c>
      <c r="G23" s="91">
        <v>1157.08</v>
      </c>
      <c r="H23" s="91">
        <v>43.75</v>
      </c>
      <c r="I23" s="91">
        <v>253.76</v>
      </c>
      <c r="J23" s="91">
        <v>1267</v>
      </c>
      <c r="K23" s="91">
        <v>15237</v>
      </c>
      <c r="L23" s="91">
        <v>272.27</v>
      </c>
      <c r="M23" s="295">
        <f>SUM(C26:L26)</f>
        <v>3</v>
      </c>
      <c r="O23" s="278">
        <v>3</v>
      </c>
    </row>
    <row r="24" spans="1:15" ht="30.75" customHeight="1" x14ac:dyDescent="0.25">
      <c r="A24" s="325"/>
      <c r="B24" s="82" t="s">
        <v>589</v>
      </c>
      <c r="C24" s="77">
        <f>C23/'PRODUTIVIDADE IN 05-2017'!$A$12</f>
        <v>0.646675</v>
      </c>
      <c r="D24" s="77">
        <f>D23/'PRODUTIVIDADE IN 05-2017'!$C$12</f>
        <v>0</v>
      </c>
      <c r="E24" s="77">
        <f>E23/'PRODUTIVIDADE IN 05-2017'!$E$12</f>
        <v>4.1000000000000002E-2</v>
      </c>
      <c r="F24" s="77">
        <f>F23/'PRODUTIVIDADE IN 05-2017'!$G$12</f>
        <v>0</v>
      </c>
      <c r="G24" s="77">
        <f>G23/'PRODUTIVIDADE IN 05-2017'!$I$12</f>
        <v>0.77138666666666666</v>
      </c>
      <c r="H24" s="77">
        <f>H23/'PRODUTIVIDADE IN 05-2017'!$K$12</f>
        <v>0.14583333333333334</v>
      </c>
      <c r="I24" s="77">
        <f>I23/'PRODUTIVIDADE IN 05-2017'!$A$16</f>
        <v>9.3985185185185185E-2</v>
      </c>
      <c r="J24" s="77">
        <f>J23/'PRODUTIVIDADE IN 05-2017'!$C$16</f>
        <v>0.14077777777777778</v>
      </c>
      <c r="K24" s="77">
        <f>K23/'PRODUTIVIDADE IN 05-2017'!$E$16</f>
        <v>0.15237000000000001</v>
      </c>
      <c r="L24" s="298">
        <f>L23/'[1]PRODUTIVIDADE IN 05-2017'!$G$7</f>
        <v>0.90756666666666663</v>
      </c>
      <c r="M24" s="296"/>
      <c r="O24" s="278"/>
    </row>
    <row r="25" spans="1:15" ht="30.75" customHeight="1" x14ac:dyDescent="0.25">
      <c r="A25" s="325"/>
      <c r="B25" s="82" t="s">
        <v>590</v>
      </c>
      <c r="C25" s="300">
        <f>SUM(C24:H24)</f>
        <v>1.604895</v>
      </c>
      <c r="D25" s="301"/>
      <c r="E25" s="301"/>
      <c r="F25" s="301"/>
      <c r="G25" s="301"/>
      <c r="H25" s="302"/>
      <c r="I25" s="300">
        <f>SUM(I24:K24)</f>
        <v>0.38713296296296296</v>
      </c>
      <c r="J25" s="301"/>
      <c r="K25" s="302"/>
      <c r="L25" s="299"/>
      <c r="M25" s="296"/>
      <c r="O25" s="278"/>
    </row>
    <row r="26" spans="1:15" ht="30.75" customHeight="1" x14ac:dyDescent="0.25">
      <c r="A26" s="325"/>
      <c r="B26" s="82" t="s">
        <v>591</v>
      </c>
      <c r="C26" s="303">
        <v>2</v>
      </c>
      <c r="D26" s="304"/>
      <c r="E26" s="304"/>
      <c r="F26" s="304"/>
      <c r="G26" s="304"/>
      <c r="H26" s="305"/>
      <c r="I26" s="303">
        <v>0</v>
      </c>
      <c r="J26" s="304"/>
      <c r="K26" s="305"/>
      <c r="L26" s="78">
        <v>1</v>
      </c>
      <c r="M26" s="297"/>
      <c r="O26" s="278"/>
    </row>
    <row r="27" spans="1:15" ht="30.75" customHeight="1" x14ac:dyDescent="0.25">
      <c r="A27" s="341">
        <v>39</v>
      </c>
      <c r="B27" s="83" t="s">
        <v>633</v>
      </c>
      <c r="C27" s="90">
        <v>2075.91</v>
      </c>
      <c r="D27" s="90">
        <v>72</v>
      </c>
      <c r="E27" s="90">
        <v>80</v>
      </c>
      <c r="F27" s="90">
        <v>1258</v>
      </c>
      <c r="G27" s="90">
        <v>0</v>
      </c>
      <c r="H27" s="90">
        <v>300.08999999999997</v>
      </c>
      <c r="I27" s="90">
        <v>906</v>
      </c>
      <c r="J27" s="90">
        <v>8172</v>
      </c>
      <c r="K27" s="90">
        <v>24990</v>
      </c>
      <c r="L27" s="90">
        <v>442</v>
      </c>
      <c r="M27" s="357">
        <f>SUM(C30:L30)</f>
        <v>6</v>
      </c>
      <c r="O27" s="280">
        <v>8</v>
      </c>
    </row>
    <row r="28" spans="1:15" ht="30.75" customHeight="1" x14ac:dyDescent="0.25">
      <c r="A28" s="341"/>
      <c r="B28" s="83" t="s">
        <v>589</v>
      </c>
      <c r="C28" s="74">
        <f>C27/'PRODUTIVIDADE IN 05-2017'!$A$12</f>
        <v>1.7299249999999999</v>
      </c>
      <c r="D28" s="74">
        <f>D27/'PRODUTIVIDADE IN 05-2017'!$C$12</f>
        <v>0.16</v>
      </c>
      <c r="E28" s="74">
        <f>E27/'PRODUTIVIDADE IN 05-2017'!$E$12</f>
        <v>3.2000000000000001E-2</v>
      </c>
      <c r="F28" s="74">
        <f>F27/'PRODUTIVIDADE IN 05-2017'!$G$12</f>
        <v>0.69888888888888889</v>
      </c>
      <c r="G28" s="74">
        <f>G27/'PRODUTIVIDADE IN 05-2017'!$I$12</f>
        <v>0</v>
      </c>
      <c r="H28" s="74">
        <f>H27/'PRODUTIVIDADE IN 05-2017'!$K$12</f>
        <v>1.0003</v>
      </c>
      <c r="I28" s="74">
        <f>I27/'PRODUTIVIDADE IN 05-2017'!$A$16</f>
        <v>0.33555555555555555</v>
      </c>
      <c r="J28" s="74">
        <f>J27/'PRODUTIVIDADE IN 05-2017'!$C$16</f>
        <v>0.90800000000000003</v>
      </c>
      <c r="K28" s="74">
        <f>K27/'PRODUTIVIDADE IN 05-2017'!$E$16</f>
        <v>0.24990000000000001</v>
      </c>
      <c r="L28" s="267">
        <f>L27/'[1]PRODUTIVIDADE IN 05-2017'!$G$7</f>
        <v>1.4733333333333334</v>
      </c>
      <c r="M28" s="358"/>
      <c r="O28" s="280"/>
    </row>
    <row r="29" spans="1:15" ht="30.75" customHeight="1" x14ac:dyDescent="0.25">
      <c r="A29" s="341"/>
      <c r="B29" s="83" t="s">
        <v>590</v>
      </c>
      <c r="C29" s="269">
        <f>SUM(C28:H28)</f>
        <v>3.621113888888889</v>
      </c>
      <c r="D29" s="270"/>
      <c r="E29" s="270"/>
      <c r="F29" s="270"/>
      <c r="G29" s="270"/>
      <c r="H29" s="271"/>
      <c r="I29" s="269">
        <f>SUM(I28:K28)</f>
        <v>1.4934555555555555</v>
      </c>
      <c r="J29" s="270"/>
      <c r="K29" s="271"/>
      <c r="L29" s="268"/>
      <c r="M29" s="358"/>
      <c r="O29" s="280"/>
    </row>
    <row r="30" spans="1:15" ht="30.75" customHeight="1" x14ac:dyDescent="0.25">
      <c r="A30" s="341"/>
      <c r="B30" s="83" t="s">
        <v>591</v>
      </c>
      <c r="C30" s="272">
        <v>4</v>
      </c>
      <c r="D30" s="273"/>
      <c r="E30" s="273"/>
      <c r="F30" s="273"/>
      <c r="G30" s="273"/>
      <c r="H30" s="274"/>
      <c r="I30" s="272">
        <v>1</v>
      </c>
      <c r="J30" s="273"/>
      <c r="K30" s="274"/>
      <c r="L30" s="75">
        <v>1</v>
      </c>
      <c r="M30" s="359"/>
      <c r="O30" s="280"/>
    </row>
    <row r="31" spans="1:15" ht="30.75" customHeight="1" x14ac:dyDescent="0.25">
      <c r="A31" s="325">
        <v>40</v>
      </c>
      <c r="B31" s="81" t="s">
        <v>634</v>
      </c>
      <c r="C31" s="91">
        <v>362.08</v>
      </c>
      <c r="D31" s="91">
        <v>68.760000000000005</v>
      </c>
      <c r="E31" s="91">
        <v>174.96</v>
      </c>
      <c r="F31" s="91">
        <v>0</v>
      </c>
      <c r="G31" s="91">
        <v>0</v>
      </c>
      <c r="H31" s="91">
        <v>25.37</v>
      </c>
      <c r="I31" s="169">
        <v>1697.67</v>
      </c>
      <c r="J31" s="91">
        <v>220.58</v>
      </c>
      <c r="K31" s="91">
        <v>819</v>
      </c>
      <c r="L31" s="91">
        <v>56.6</v>
      </c>
      <c r="M31" s="312">
        <f>SUM(C34:L34)</f>
        <v>2</v>
      </c>
      <c r="O31" s="278">
        <v>2</v>
      </c>
    </row>
    <row r="32" spans="1:15" ht="30.75" customHeight="1" x14ac:dyDescent="0.25">
      <c r="A32" s="325"/>
      <c r="B32" s="82" t="s">
        <v>589</v>
      </c>
      <c r="C32" s="77">
        <f>C31/'PRODUTIVIDADE IN 05-2017'!$A$12</f>
        <v>0.3017333333333333</v>
      </c>
      <c r="D32" s="77">
        <f>D31/'PRODUTIVIDADE IN 05-2017'!$C$12</f>
        <v>0.15280000000000002</v>
      </c>
      <c r="E32" s="77">
        <f>E31/'PRODUTIVIDADE IN 05-2017'!$E$12</f>
        <v>6.9984000000000005E-2</v>
      </c>
      <c r="F32" s="77">
        <f>F31/'PRODUTIVIDADE IN 05-2017'!$G$12</f>
        <v>0</v>
      </c>
      <c r="G32" s="77">
        <f>G31/'PRODUTIVIDADE IN 05-2017'!$I$12</f>
        <v>0</v>
      </c>
      <c r="H32" s="77">
        <f>H31/'PRODUTIVIDADE IN 05-2017'!$K$12</f>
        <v>8.4566666666666665E-2</v>
      </c>
      <c r="I32" s="77">
        <f>I31/'PRODUTIVIDADE IN 05-2017'!$A$16</f>
        <v>0.6287666666666667</v>
      </c>
      <c r="J32" s="77">
        <f>J31/'PRODUTIVIDADE IN 05-2017'!$C$16</f>
        <v>2.4508888888888889E-2</v>
      </c>
      <c r="K32" s="77">
        <f>K31/'PRODUTIVIDADE IN 05-2017'!$E$16</f>
        <v>8.1899999999999994E-3</v>
      </c>
      <c r="L32" s="298">
        <f>L31/'[1]PRODUTIVIDADE IN 05-2017'!$G$7</f>
        <v>0.18866666666666668</v>
      </c>
      <c r="M32" s="313"/>
      <c r="O32" s="278"/>
    </row>
    <row r="33" spans="1:15" ht="30.75" customHeight="1" x14ac:dyDescent="0.25">
      <c r="A33" s="325"/>
      <c r="B33" s="82" t="s">
        <v>590</v>
      </c>
      <c r="C33" s="300">
        <f>SUM(C32:H32)</f>
        <v>0.60908400000000007</v>
      </c>
      <c r="D33" s="301"/>
      <c r="E33" s="301"/>
      <c r="F33" s="301"/>
      <c r="G33" s="301"/>
      <c r="H33" s="302"/>
      <c r="I33" s="300">
        <f>SUM(I32:K32)</f>
        <v>0.66146555555555564</v>
      </c>
      <c r="J33" s="301"/>
      <c r="K33" s="302"/>
      <c r="L33" s="299"/>
      <c r="M33" s="313"/>
      <c r="O33" s="278"/>
    </row>
    <row r="34" spans="1:15" ht="30.75" customHeight="1" x14ac:dyDescent="0.25">
      <c r="A34" s="325"/>
      <c r="B34" s="82" t="s">
        <v>591</v>
      </c>
      <c r="C34" s="303">
        <v>1</v>
      </c>
      <c r="D34" s="304"/>
      <c r="E34" s="304"/>
      <c r="F34" s="304"/>
      <c r="G34" s="304"/>
      <c r="H34" s="305"/>
      <c r="I34" s="303">
        <v>1</v>
      </c>
      <c r="J34" s="304"/>
      <c r="K34" s="305"/>
      <c r="L34" s="78">
        <v>0</v>
      </c>
      <c r="M34" s="314"/>
      <c r="O34" s="278"/>
    </row>
    <row r="35" spans="1:15" ht="30.75" customHeight="1" x14ac:dyDescent="0.25">
      <c r="A35" s="341">
        <v>41</v>
      </c>
      <c r="B35" s="83" t="s">
        <v>635</v>
      </c>
      <c r="C35" s="90">
        <v>756.1</v>
      </c>
      <c r="D35" s="90">
        <v>0</v>
      </c>
      <c r="E35" s="90">
        <v>0</v>
      </c>
      <c r="F35" s="90">
        <v>0</v>
      </c>
      <c r="G35" s="90">
        <v>1481.5</v>
      </c>
      <c r="H35" s="90">
        <v>212.7</v>
      </c>
      <c r="I35" s="90">
        <v>390</v>
      </c>
      <c r="J35" s="90">
        <v>1339</v>
      </c>
      <c r="K35" s="90">
        <v>4000</v>
      </c>
      <c r="L35" s="92">
        <v>919.5</v>
      </c>
      <c r="M35" s="357">
        <f>SUM(C38:L38)</f>
        <v>5</v>
      </c>
      <c r="O35" s="280">
        <v>6</v>
      </c>
    </row>
    <row r="36" spans="1:15" ht="30.75" customHeight="1" x14ac:dyDescent="0.25">
      <c r="A36" s="341"/>
      <c r="B36" s="83" t="s">
        <v>589</v>
      </c>
      <c r="C36" s="74">
        <f>C35/'PRODUTIVIDADE IN 05-2017'!$A$12</f>
        <v>0.63008333333333333</v>
      </c>
      <c r="D36" s="74">
        <f>D35/'PRODUTIVIDADE IN 05-2017'!$C$12</f>
        <v>0</v>
      </c>
      <c r="E36" s="74">
        <f>E35/'PRODUTIVIDADE IN 05-2017'!$E$12</f>
        <v>0</v>
      </c>
      <c r="F36" s="74">
        <f>F35/'PRODUTIVIDADE IN 05-2017'!$G$12</f>
        <v>0</v>
      </c>
      <c r="G36" s="74">
        <f>G35/'PRODUTIVIDADE IN 05-2017'!$I$12</f>
        <v>0.98766666666666669</v>
      </c>
      <c r="H36" s="74">
        <f>H35/'PRODUTIVIDADE IN 05-2017'!$K$12</f>
        <v>0.70899999999999996</v>
      </c>
      <c r="I36" s="74">
        <f>I35/'PRODUTIVIDADE IN 05-2017'!$A$16</f>
        <v>0.14444444444444443</v>
      </c>
      <c r="J36" s="74">
        <f>J35/'PRODUTIVIDADE IN 05-2017'!$C$16</f>
        <v>0.14877777777777779</v>
      </c>
      <c r="K36" s="74">
        <f>K35/'PRODUTIVIDADE IN 05-2017'!$E$16</f>
        <v>0.04</v>
      </c>
      <c r="L36" s="363">
        <f>L35/'[1]PRODUTIVIDADE IN 05-2017'!$G$7</f>
        <v>3.0649999999999999</v>
      </c>
      <c r="M36" s="358"/>
      <c r="O36" s="280"/>
    </row>
    <row r="37" spans="1:15" ht="30.75" customHeight="1" x14ac:dyDescent="0.25">
      <c r="A37" s="341"/>
      <c r="B37" s="83" t="s">
        <v>590</v>
      </c>
      <c r="C37" s="269">
        <f>SUM(C36:H36)</f>
        <v>2.3267500000000001</v>
      </c>
      <c r="D37" s="270"/>
      <c r="E37" s="270"/>
      <c r="F37" s="270"/>
      <c r="G37" s="270"/>
      <c r="H37" s="271"/>
      <c r="I37" s="269">
        <f>SUM(I36:K36)</f>
        <v>0.3332222222222222</v>
      </c>
      <c r="J37" s="270"/>
      <c r="K37" s="271"/>
      <c r="L37" s="364"/>
      <c r="M37" s="358"/>
      <c r="O37" s="280"/>
    </row>
    <row r="38" spans="1:15" ht="30.75" customHeight="1" x14ac:dyDescent="0.25">
      <c r="A38" s="341"/>
      <c r="B38" s="83" t="s">
        <v>591</v>
      </c>
      <c r="C38" s="272">
        <v>2</v>
      </c>
      <c r="D38" s="273"/>
      <c r="E38" s="273"/>
      <c r="F38" s="273"/>
      <c r="G38" s="273"/>
      <c r="H38" s="274"/>
      <c r="I38" s="272">
        <v>0</v>
      </c>
      <c r="J38" s="273"/>
      <c r="K38" s="274"/>
      <c r="L38" s="93">
        <v>3</v>
      </c>
      <c r="M38" s="359"/>
      <c r="O38" s="280"/>
    </row>
    <row r="39" spans="1:15" ht="60" hidden="1" x14ac:dyDescent="0.25">
      <c r="A39" s="373" t="s">
        <v>574</v>
      </c>
      <c r="B39" s="374" t="s">
        <v>575</v>
      </c>
      <c r="C39" s="288" t="s">
        <v>576</v>
      </c>
      <c r="D39" s="288"/>
      <c r="E39" s="288"/>
      <c r="F39" s="288"/>
      <c r="G39" s="288"/>
      <c r="H39" s="288"/>
      <c r="I39" s="289" t="s">
        <v>577</v>
      </c>
      <c r="J39" s="289"/>
      <c r="K39" s="289"/>
      <c r="L39" s="65" t="s">
        <v>568</v>
      </c>
      <c r="M39" s="177" t="s">
        <v>578</v>
      </c>
    </row>
    <row r="40" spans="1:15" ht="30.75" hidden="1" thickBot="1" x14ac:dyDescent="0.3">
      <c r="A40" s="373"/>
      <c r="B40" s="375"/>
      <c r="C40" s="67" t="s">
        <v>580</v>
      </c>
      <c r="D40" s="67" t="s">
        <v>626</v>
      </c>
      <c r="E40" s="67" t="s">
        <v>581</v>
      </c>
      <c r="F40" s="67" t="s">
        <v>563</v>
      </c>
      <c r="G40" s="67" t="s">
        <v>582</v>
      </c>
      <c r="H40" s="67" t="s">
        <v>565</v>
      </c>
      <c r="I40" s="68" t="s">
        <v>583</v>
      </c>
      <c r="J40" s="68" t="s">
        <v>584</v>
      </c>
      <c r="K40" s="68" t="s">
        <v>585</v>
      </c>
      <c r="L40" s="69" t="s">
        <v>586</v>
      </c>
      <c r="M40" s="70" t="s">
        <v>587</v>
      </c>
    </row>
    <row r="41" spans="1:15" ht="30.75" customHeight="1" x14ac:dyDescent="0.25">
      <c r="A41" s="325">
        <v>42</v>
      </c>
      <c r="B41" s="82" t="s">
        <v>636</v>
      </c>
      <c r="C41" s="185">
        <v>427</v>
      </c>
      <c r="D41" s="164">
        <v>0</v>
      </c>
      <c r="E41" s="164">
        <v>25.6</v>
      </c>
      <c r="F41" s="164">
        <v>0</v>
      </c>
      <c r="G41" s="164">
        <v>12</v>
      </c>
      <c r="H41" s="164">
        <v>33</v>
      </c>
      <c r="I41" s="164">
        <v>168</v>
      </c>
      <c r="J41" s="164">
        <v>336</v>
      </c>
      <c r="K41" s="164">
        <v>234</v>
      </c>
      <c r="L41" s="164">
        <v>106.8</v>
      </c>
      <c r="M41" s="380">
        <f>SUM(C44:L44)</f>
        <v>0</v>
      </c>
      <c r="O41" s="277">
        <v>1</v>
      </c>
    </row>
    <row r="42" spans="1:15" ht="30.75" customHeight="1" x14ac:dyDescent="0.25">
      <c r="A42" s="325"/>
      <c r="B42" s="82" t="s">
        <v>589</v>
      </c>
      <c r="C42" s="77">
        <f>C41/'PRODUTIVIDADE IN 05-2017'!$A$12</f>
        <v>0.35583333333333333</v>
      </c>
      <c r="D42" s="77">
        <f>D41/'PRODUTIVIDADE IN 05-2017'!$C$12</f>
        <v>0</v>
      </c>
      <c r="E42" s="77">
        <f>E41/'PRODUTIVIDADE IN 05-2017'!$E$12</f>
        <v>1.0240000000000001E-2</v>
      </c>
      <c r="F42" s="77">
        <f>F41/'PRODUTIVIDADE IN 05-2017'!$G$12</f>
        <v>0</v>
      </c>
      <c r="G42" s="77">
        <f>G41/'PRODUTIVIDADE IN 05-2017'!$I$12</f>
        <v>8.0000000000000002E-3</v>
      </c>
      <c r="H42" s="77">
        <f>H41/'PRODUTIVIDADE IN 05-2017'!$K$12</f>
        <v>0.11</v>
      </c>
      <c r="I42" s="77">
        <f>I41/'PRODUTIVIDADE IN 05-2017'!$A$16</f>
        <v>6.222222222222222E-2</v>
      </c>
      <c r="J42" s="77">
        <f>J41/'PRODUTIVIDADE IN 05-2017'!$C$16</f>
        <v>3.7333333333333336E-2</v>
      </c>
      <c r="K42" s="77">
        <f>K41/'PRODUTIVIDADE IN 05-2017'!$E$16</f>
        <v>2.3400000000000001E-3</v>
      </c>
      <c r="L42" s="298">
        <f>L41/'[1]PRODUTIVIDADE IN 05-2017'!$G$7</f>
        <v>0.35599999999999998</v>
      </c>
      <c r="M42" s="381"/>
      <c r="O42" s="277"/>
    </row>
    <row r="43" spans="1:15" ht="30.75" customHeight="1" x14ac:dyDescent="0.25">
      <c r="A43" s="325"/>
      <c r="B43" s="82" t="s">
        <v>590</v>
      </c>
      <c r="C43" s="300">
        <f>SUM(C42:H42)</f>
        <v>0.48407333333333336</v>
      </c>
      <c r="D43" s="301"/>
      <c r="E43" s="301"/>
      <c r="F43" s="301"/>
      <c r="G43" s="301"/>
      <c r="H43" s="302"/>
      <c r="I43" s="300">
        <f>SUM(I42:K42)</f>
        <v>0.10189555555555556</v>
      </c>
      <c r="J43" s="301"/>
      <c r="K43" s="302"/>
      <c r="L43" s="299"/>
      <c r="M43" s="381"/>
      <c r="O43" s="277"/>
    </row>
    <row r="44" spans="1:15" ht="30.75" customHeight="1" x14ac:dyDescent="0.25">
      <c r="A44" s="325"/>
      <c r="B44" s="82" t="s">
        <v>591</v>
      </c>
      <c r="C44" s="303">
        <v>0</v>
      </c>
      <c r="D44" s="304"/>
      <c r="E44" s="304"/>
      <c r="F44" s="304"/>
      <c r="G44" s="304"/>
      <c r="H44" s="305"/>
      <c r="I44" s="303">
        <v>0</v>
      </c>
      <c r="J44" s="304"/>
      <c r="K44" s="305"/>
      <c r="L44" s="78">
        <v>0</v>
      </c>
      <c r="M44" s="382"/>
      <c r="O44" s="277"/>
    </row>
    <row r="45" spans="1:15" ht="30.75" customHeight="1" x14ac:dyDescent="0.25">
      <c r="A45" s="341">
        <v>43</v>
      </c>
      <c r="B45" s="84" t="s">
        <v>637</v>
      </c>
      <c r="C45" s="165">
        <v>1015.92</v>
      </c>
      <c r="D45" s="165">
        <v>0</v>
      </c>
      <c r="E45" s="165">
        <v>38.659999999999997</v>
      </c>
      <c r="F45" s="165">
        <v>0</v>
      </c>
      <c r="G45" s="165">
        <v>139.63</v>
      </c>
      <c r="H45" s="165">
        <v>42.08</v>
      </c>
      <c r="I45" s="165">
        <v>732</v>
      </c>
      <c r="J45" s="165">
        <v>424</v>
      </c>
      <c r="K45" s="165">
        <v>9</v>
      </c>
      <c r="L45" s="165">
        <v>133.28</v>
      </c>
      <c r="M45" s="360">
        <f>SUM(C48:L48)</f>
        <v>1</v>
      </c>
      <c r="O45" s="280">
        <v>2</v>
      </c>
    </row>
    <row r="46" spans="1:15" ht="30.75" customHeight="1" x14ac:dyDescent="0.25">
      <c r="A46" s="341"/>
      <c r="B46" s="84" t="s">
        <v>589</v>
      </c>
      <c r="C46" s="74">
        <f>C45/'PRODUTIVIDADE IN 05-2017'!$A$12</f>
        <v>0.84660000000000002</v>
      </c>
      <c r="D46" s="74">
        <f>D45/'PRODUTIVIDADE IN 05-2017'!$C$12</f>
        <v>0</v>
      </c>
      <c r="E46" s="74">
        <f>E45/'PRODUTIVIDADE IN 05-2017'!$E$12</f>
        <v>1.5463999999999999E-2</v>
      </c>
      <c r="F46" s="74">
        <f>F45/'PRODUTIVIDADE IN 05-2017'!$G$12</f>
        <v>0</v>
      </c>
      <c r="G46" s="74">
        <f>G45/'PRODUTIVIDADE IN 05-2017'!$I$12</f>
        <v>9.3086666666666665E-2</v>
      </c>
      <c r="H46" s="74">
        <f>H45/'PRODUTIVIDADE IN 05-2017'!$K$12</f>
        <v>0.14026666666666665</v>
      </c>
      <c r="I46" s="74">
        <f>I45/'PRODUTIVIDADE IN 05-2017'!$A$16</f>
        <v>0.27111111111111114</v>
      </c>
      <c r="J46" s="74">
        <f>J45/'PRODUTIVIDADE IN 05-2017'!$C$16</f>
        <v>4.7111111111111111E-2</v>
      </c>
      <c r="K46" s="74">
        <f>K45/'PRODUTIVIDADE IN 05-2017'!$E$16</f>
        <v>9.0000000000000006E-5</v>
      </c>
      <c r="L46" s="365">
        <f>L45/'[1]PRODUTIVIDADE IN 05-2017'!$G$7</f>
        <v>0.44426666666666664</v>
      </c>
      <c r="M46" s="361"/>
      <c r="O46" s="280"/>
    </row>
    <row r="47" spans="1:15" ht="30.75" customHeight="1" x14ac:dyDescent="0.25">
      <c r="A47" s="341"/>
      <c r="B47" s="84" t="s">
        <v>590</v>
      </c>
      <c r="C47" s="367">
        <f>SUM(C46:H46)</f>
        <v>1.0954173333333332</v>
      </c>
      <c r="D47" s="368"/>
      <c r="E47" s="368"/>
      <c r="F47" s="368"/>
      <c r="G47" s="368"/>
      <c r="H47" s="369"/>
      <c r="I47" s="367">
        <f>SUM(I46:K46)</f>
        <v>0.31831222222222222</v>
      </c>
      <c r="J47" s="368"/>
      <c r="K47" s="369"/>
      <c r="L47" s="366"/>
      <c r="M47" s="361"/>
      <c r="O47" s="280"/>
    </row>
    <row r="48" spans="1:15" ht="30.75" customHeight="1" x14ac:dyDescent="0.25">
      <c r="A48" s="341"/>
      <c r="B48" s="84" t="s">
        <v>591</v>
      </c>
      <c r="C48" s="370">
        <v>1</v>
      </c>
      <c r="D48" s="371"/>
      <c r="E48" s="371"/>
      <c r="F48" s="371"/>
      <c r="G48" s="371"/>
      <c r="H48" s="372"/>
      <c r="I48" s="370">
        <v>0</v>
      </c>
      <c r="J48" s="371"/>
      <c r="K48" s="372"/>
      <c r="L48" s="166">
        <v>0</v>
      </c>
      <c r="M48" s="362"/>
      <c r="O48" s="280"/>
    </row>
    <row r="49" spans="1:15" ht="30.75" customHeight="1" x14ac:dyDescent="0.25">
      <c r="A49" s="325">
        <v>44</v>
      </c>
      <c r="B49" s="82" t="s">
        <v>740</v>
      </c>
      <c r="C49" s="164">
        <v>875.89</v>
      </c>
      <c r="D49" s="164">
        <v>0</v>
      </c>
      <c r="E49" s="164">
        <v>55</v>
      </c>
      <c r="F49" s="164">
        <v>0</v>
      </c>
      <c r="G49" s="164">
        <v>798.86</v>
      </c>
      <c r="H49" s="164">
        <v>113.51</v>
      </c>
      <c r="I49" s="164">
        <v>608</v>
      </c>
      <c r="J49" s="164">
        <v>955</v>
      </c>
      <c r="K49" s="164">
        <v>273</v>
      </c>
      <c r="L49" s="186">
        <v>398.6</v>
      </c>
      <c r="M49" s="295">
        <f>SUM(C52:L52)</f>
        <v>3</v>
      </c>
      <c r="O49" s="275">
        <v>4</v>
      </c>
    </row>
    <row r="50" spans="1:15" ht="30.75" customHeight="1" x14ac:dyDescent="0.25">
      <c r="A50" s="325"/>
      <c r="B50" s="82" t="s">
        <v>589</v>
      </c>
      <c r="C50" s="77">
        <f>C49/'PRODUTIVIDADE IN 05-2017'!$A$12</f>
        <v>0.72990833333333327</v>
      </c>
      <c r="D50" s="77">
        <f>D49/'PRODUTIVIDADE IN 05-2017'!$C$12</f>
        <v>0</v>
      </c>
      <c r="E50" s="77">
        <f>E49/'PRODUTIVIDADE IN 05-2017'!$E$12</f>
        <v>2.1999999999999999E-2</v>
      </c>
      <c r="F50" s="77">
        <f>F49/'PRODUTIVIDADE IN 05-2017'!$G$12</f>
        <v>0</v>
      </c>
      <c r="G50" s="77">
        <f>G49/'PRODUTIVIDADE IN 05-2017'!$I$12</f>
        <v>0.53257333333333334</v>
      </c>
      <c r="H50" s="77">
        <f>H49/'PRODUTIVIDADE IN 05-2017'!$K$12</f>
        <v>0.37836666666666668</v>
      </c>
      <c r="I50" s="77">
        <f>I49/'PRODUTIVIDADE IN 05-2017'!$A$16</f>
        <v>0.22518518518518518</v>
      </c>
      <c r="J50" s="77">
        <f>J49/'PRODUTIVIDADE IN 05-2017'!$C$16</f>
        <v>0.10611111111111111</v>
      </c>
      <c r="K50" s="77">
        <f>K49/'PRODUTIVIDADE IN 05-2017'!$E$16</f>
        <v>2.7299999999999998E-3</v>
      </c>
      <c r="L50" s="298">
        <f>L49/'[1]PRODUTIVIDADE IN 05-2017'!$G$7</f>
        <v>1.3286666666666667</v>
      </c>
      <c r="M50" s="296"/>
      <c r="O50" s="275"/>
    </row>
    <row r="51" spans="1:15" ht="30.75" customHeight="1" x14ac:dyDescent="0.25">
      <c r="A51" s="325"/>
      <c r="B51" s="82" t="s">
        <v>590</v>
      </c>
      <c r="C51" s="300">
        <f>SUM(C50:H50)</f>
        <v>1.6628483333333335</v>
      </c>
      <c r="D51" s="301"/>
      <c r="E51" s="301"/>
      <c r="F51" s="301"/>
      <c r="G51" s="301"/>
      <c r="H51" s="302"/>
      <c r="I51" s="300">
        <f>SUM(I50:K50)</f>
        <v>0.33402629629629632</v>
      </c>
      <c r="J51" s="301"/>
      <c r="K51" s="302"/>
      <c r="L51" s="299"/>
      <c r="M51" s="296"/>
      <c r="O51" s="275"/>
    </row>
    <row r="52" spans="1:15" ht="30.75" customHeight="1" x14ac:dyDescent="0.25">
      <c r="A52" s="325"/>
      <c r="B52" s="82" t="s">
        <v>591</v>
      </c>
      <c r="C52" s="303">
        <v>2</v>
      </c>
      <c r="D52" s="304"/>
      <c r="E52" s="304"/>
      <c r="F52" s="304"/>
      <c r="G52" s="304"/>
      <c r="H52" s="305"/>
      <c r="I52" s="303">
        <v>0</v>
      </c>
      <c r="J52" s="304"/>
      <c r="K52" s="305"/>
      <c r="L52" s="78">
        <v>1</v>
      </c>
      <c r="M52" s="297"/>
      <c r="O52" s="275"/>
    </row>
    <row r="53" spans="1:15" ht="30.75" customHeight="1" x14ac:dyDescent="0.25">
      <c r="A53" s="376">
        <v>45</v>
      </c>
      <c r="B53" s="84" t="s">
        <v>638</v>
      </c>
      <c r="C53" s="165">
        <v>1370.96</v>
      </c>
      <c r="D53" s="165">
        <v>0</v>
      </c>
      <c r="E53" s="165">
        <v>895</v>
      </c>
      <c r="F53" s="165">
        <v>0</v>
      </c>
      <c r="G53" s="165">
        <v>62</v>
      </c>
      <c r="H53" s="165">
        <v>82.12</v>
      </c>
      <c r="I53" s="165">
        <v>473.12</v>
      </c>
      <c r="J53" s="165">
        <v>1555</v>
      </c>
      <c r="K53" s="165">
        <v>800</v>
      </c>
      <c r="L53" s="165">
        <v>93.8</v>
      </c>
      <c r="M53" s="360">
        <f>SUM(C56:L56)</f>
        <v>2</v>
      </c>
      <c r="O53" s="276">
        <v>4</v>
      </c>
    </row>
    <row r="54" spans="1:15" ht="30.75" customHeight="1" x14ac:dyDescent="0.25">
      <c r="A54" s="376"/>
      <c r="B54" s="84" t="s">
        <v>589</v>
      </c>
      <c r="C54" s="74">
        <f>C53/'PRODUTIVIDADE IN 05-2017'!$A$12</f>
        <v>1.1424666666666667</v>
      </c>
      <c r="D54" s="74">
        <f>D53/'PRODUTIVIDADE IN 05-2017'!$C$12</f>
        <v>0</v>
      </c>
      <c r="E54" s="74">
        <f>E53/'PRODUTIVIDADE IN 05-2017'!$E$12</f>
        <v>0.35799999999999998</v>
      </c>
      <c r="F54" s="74">
        <f>F53/'PRODUTIVIDADE IN 05-2017'!$G$12</f>
        <v>0</v>
      </c>
      <c r="G54" s="74">
        <f>G53/'PRODUTIVIDADE IN 05-2017'!$I$12</f>
        <v>4.1333333333333333E-2</v>
      </c>
      <c r="H54" s="74">
        <f>H53/'PRODUTIVIDADE IN 05-2017'!$K$12</f>
        <v>0.27373333333333333</v>
      </c>
      <c r="I54" s="74">
        <f>I53/'PRODUTIVIDADE IN 05-2017'!$A$16</f>
        <v>0.17522962962962962</v>
      </c>
      <c r="J54" s="74">
        <f>J53/'PRODUTIVIDADE IN 05-2017'!$C$16</f>
        <v>0.17277777777777778</v>
      </c>
      <c r="K54" s="74">
        <f>K53/'PRODUTIVIDADE IN 05-2017'!$E$16</f>
        <v>8.0000000000000002E-3</v>
      </c>
      <c r="L54" s="365">
        <f>L53/'[1]PRODUTIVIDADE IN 05-2017'!$G$7</f>
        <v>0.31266666666666665</v>
      </c>
      <c r="M54" s="361"/>
      <c r="O54" s="276"/>
    </row>
    <row r="55" spans="1:15" ht="30.75" customHeight="1" x14ac:dyDescent="0.25">
      <c r="A55" s="376"/>
      <c r="B55" s="84" t="s">
        <v>590</v>
      </c>
      <c r="C55" s="367">
        <f>SUM(C54:H54)</f>
        <v>1.8155333333333332</v>
      </c>
      <c r="D55" s="368"/>
      <c r="E55" s="368"/>
      <c r="F55" s="368"/>
      <c r="G55" s="368"/>
      <c r="H55" s="369"/>
      <c r="I55" s="367">
        <f>SUM(I54:K54)</f>
        <v>0.35600740740740744</v>
      </c>
      <c r="J55" s="368"/>
      <c r="K55" s="369"/>
      <c r="L55" s="366"/>
      <c r="M55" s="361"/>
      <c r="O55" s="276"/>
    </row>
    <row r="56" spans="1:15" ht="30.75" customHeight="1" x14ac:dyDescent="0.25">
      <c r="A56" s="376"/>
      <c r="B56" s="84" t="s">
        <v>591</v>
      </c>
      <c r="C56" s="370">
        <v>2</v>
      </c>
      <c r="D56" s="371"/>
      <c r="E56" s="371"/>
      <c r="F56" s="371"/>
      <c r="G56" s="371"/>
      <c r="H56" s="372"/>
      <c r="I56" s="370">
        <v>0</v>
      </c>
      <c r="J56" s="371"/>
      <c r="K56" s="372"/>
      <c r="L56" s="166">
        <v>0</v>
      </c>
      <c r="M56" s="362"/>
      <c r="O56" s="276"/>
    </row>
    <row r="57" spans="1:15" ht="30.75" customHeight="1" x14ac:dyDescent="0.25">
      <c r="A57" s="325">
        <v>46</v>
      </c>
      <c r="B57" s="82" t="s">
        <v>639</v>
      </c>
      <c r="C57" s="164">
        <v>167.01</v>
      </c>
      <c r="D57" s="164">
        <v>0</v>
      </c>
      <c r="E57" s="164">
        <v>420</v>
      </c>
      <c r="F57" s="164">
        <v>0</v>
      </c>
      <c r="G57" s="164">
        <v>0</v>
      </c>
      <c r="H57" s="164">
        <v>15</v>
      </c>
      <c r="I57" s="164">
        <v>113</v>
      </c>
      <c r="J57" s="164">
        <v>747</v>
      </c>
      <c r="K57" s="164">
        <v>160.30000000000001</v>
      </c>
      <c r="L57" s="164">
        <v>55</v>
      </c>
      <c r="M57" s="377">
        <f>SUM(C60:L60)</f>
        <v>0</v>
      </c>
      <c r="O57" s="277">
        <v>1</v>
      </c>
    </row>
    <row r="58" spans="1:15" ht="30.75" customHeight="1" x14ac:dyDescent="0.25">
      <c r="A58" s="325"/>
      <c r="B58" s="82" t="s">
        <v>589</v>
      </c>
      <c r="C58" s="77">
        <f>C57/'PRODUTIVIDADE IN 05-2017'!$A$12</f>
        <v>0.13917499999999999</v>
      </c>
      <c r="D58" s="77">
        <f>D57/'PRODUTIVIDADE IN 05-2017'!$C$12</f>
        <v>0</v>
      </c>
      <c r="E58" s="77">
        <f>E57/'PRODUTIVIDADE IN 05-2017'!$E$12</f>
        <v>0.16800000000000001</v>
      </c>
      <c r="F58" s="77">
        <f>F57/'PRODUTIVIDADE IN 05-2017'!$G$12</f>
        <v>0</v>
      </c>
      <c r="G58" s="77">
        <f>G57/'PRODUTIVIDADE IN 05-2017'!$I$12</f>
        <v>0</v>
      </c>
      <c r="H58" s="77">
        <f>H57/'PRODUTIVIDADE IN 05-2017'!$K$12</f>
        <v>0.05</v>
      </c>
      <c r="I58" s="77">
        <f>I57/'PRODUTIVIDADE IN 05-2017'!$A$16</f>
        <v>4.1851851851851848E-2</v>
      </c>
      <c r="J58" s="77">
        <f>J57/'PRODUTIVIDADE IN 05-2017'!$C$16</f>
        <v>8.3000000000000004E-2</v>
      </c>
      <c r="K58" s="77">
        <f>K57/'PRODUTIVIDADE IN 05-2017'!$E$16</f>
        <v>1.603E-3</v>
      </c>
      <c r="L58" s="298">
        <f>L57/'[1]PRODUTIVIDADE IN 05-2017'!$G$7</f>
        <v>0.18333333333333332</v>
      </c>
      <c r="M58" s="378"/>
      <c r="O58" s="277"/>
    </row>
    <row r="59" spans="1:15" ht="30.75" customHeight="1" x14ac:dyDescent="0.25">
      <c r="A59" s="325"/>
      <c r="B59" s="82" t="s">
        <v>590</v>
      </c>
      <c r="C59" s="330">
        <f>SUM(C58:H58)</f>
        <v>0.35717499999999996</v>
      </c>
      <c r="D59" s="331"/>
      <c r="E59" s="331"/>
      <c r="F59" s="331"/>
      <c r="G59" s="331"/>
      <c r="H59" s="332"/>
      <c r="I59" s="330">
        <f>SUM(I58:K58)</f>
        <v>0.12645485185185185</v>
      </c>
      <c r="J59" s="331"/>
      <c r="K59" s="332"/>
      <c r="L59" s="299"/>
      <c r="M59" s="378"/>
      <c r="O59" s="277"/>
    </row>
    <row r="60" spans="1:15" ht="30" x14ac:dyDescent="0.25">
      <c r="A60" s="325"/>
      <c r="B60" s="151" t="s">
        <v>591</v>
      </c>
      <c r="C60" s="333">
        <v>0</v>
      </c>
      <c r="D60" s="333"/>
      <c r="E60" s="333"/>
      <c r="F60" s="333"/>
      <c r="G60" s="333"/>
      <c r="H60" s="333"/>
      <c r="I60" s="333">
        <v>0</v>
      </c>
      <c r="J60" s="333"/>
      <c r="K60" s="333"/>
      <c r="L60" s="167">
        <v>0</v>
      </c>
      <c r="M60" s="379"/>
      <c r="O60" s="277"/>
    </row>
    <row r="61" spans="1:15" ht="51.75" customHeight="1" x14ac:dyDescent="0.25">
      <c r="A61" s="339" t="s">
        <v>640</v>
      </c>
      <c r="B61" s="339"/>
      <c r="C61" s="339"/>
      <c r="D61" s="339"/>
      <c r="E61" s="339"/>
      <c r="F61" s="339"/>
      <c r="G61" s="339"/>
      <c r="H61" s="339"/>
      <c r="I61" s="339"/>
      <c r="J61" s="339"/>
      <c r="K61" s="339"/>
      <c r="L61" s="339"/>
      <c r="M61" s="87">
        <f>SUM(M3:M59)</f>
        <v>49</v>
      </c>
      <c r="O61" s="144">
        <f>SUM(O3:O60)</f>
        <v>63</v>
      </c>
    </row>
    <row r="62" spans="1:15" ht="23.25" customHeight="1" x14ac:dyDescent="0.25">
      <c r="A62" s="352" t="s">
        <v>641</v>
      </c>
      <c r="B62" s="352"/>
      <c r="C62" s="352"/>
      <c r="D62" s="352"/>
      <c r="E62" s="352"/>
      <c r="F62" s="352"/>
      <c r="G62" s="352"/>
      <c r="H62" s="352"/>
      <c r="I62" s="352"/>
      <c r="J62" s="352"/>
      <c r="K62" s="352"/>
      <c r="L62" s="352"/>
      <c r="M62" s="352"/>
    </row>
    <row r="63" spans="1:15" ht="24.75" customHeight="1" x14ac:dyDescent="0.25">
      <c r="A63" s="352" t="s">
        <v>741</v>
      </c>
      <c r="B63" s="352"/>
      <c r="C63" s="352"/>
      <c r="D63" s="352"/>
      <c r="E63" s="352"/>
      <c r="F63" s="352"/>
      <c r="G63" s="352"/>
      <c r="H63" s="352"/>
      <c r="I63" s="352"/>
      <c r="J63" s="352"/>
      <c r="K63" s="352"/>
      <c r="L63" s="352"/>
      <c r="M63" s="352"/>
    </row>
  </sheetData>
  <mergeCells count="123">
    <mergeCell ref="A61:L61"/>
    <mergeCell ref="A62:M62"/>
    <mergeCell ref="A63:M63"/>
    <mergeCell ref="A57:A60"/>
    <mergeCell ref="M57:M60"/>
    <mergeCell ref="O57:O60"/>
    <mergeCell ref="L58:L59"/>
    <mergeCell ref="C59:H59"/>
    <mergeCell ref="I59:K59"/>
    <mergeCell ref="C60:H60"/>
    <mergeCell ref="I60:K60"/>
    <mergeCell ref="A53:A56"/>
    <mergeCell ref="M53:M56"/>
    <mergeCell ref="O53:O56"/>
    <mergeCell ref="L54:L55"/>
    <mergeCell ref="C55:H55"/>
    <mergeCell ref="I55:K55"/>
    <mergeCell ref="C56:H56"/>
    <mergeCell ref="I56:K56"/>
    <mergeCell ref="A49:A52"/>
    <mergeCell ref="M49:M52"/>
    <mergeCell ref="O49:O52"/>
    <mergeCell ref="L50:L51"/>
    <mergeCell ref="C51:H51"/>
    <mergeCell ref="I51:K51"/>
    <mergeCell ref="C52:H52"/>
    <mergeCell ref="I52:K52"/>
    <mergeCell ref="A45:A48"/>
    <mergeCell ref="M45:M48"/>
    <mergeCell ref="O45:O48"/>
    <mergeCell ref="L46:L47"/>
    <mergeCell ref="C47:H47"/>
    <mergeCell ref="I47:K47"/>
    <mergeCell ref="C48:H48"/>
    <mergeCell ref="I48:K48"/>
    <mergeCell ref="O41:O44"/>
    <mergeCell ref="L42:L43"/>
    <mergeCell ref="C43:H43"/>
    <mergeCell ref="I43:K43"/>
    <mergeCell ref="C44:H44"/>
    <mergeCell ref="I44:K44"/>
    <mergeCell ref="A39:A40"/>
    <mergeCell ref="B39:B40"/>
    <mergeCell ref="C39:H39"/>
    <mergeCell ref="I39:K39"/>
    <mergeCell ref="A41:A44"/>
    <mergeCell ref="M41:M44"/>
    <mergeCell ref="A35:A38"/>
    <mergeCell ref="M35:M38"/>
    <mergeCell ref="O35:O38"/>
    <mergeCell ref="L36:L37"/>
    <mergeCell ref="C37:H37"/>
    <mergeCell ref="I37:K37"/>
    <mergeCell ref="C38:H38"/>
    <mergeCell ref="I38:K38"/>
    <mergeCell ref="A31:A34"/>
    <mergeCell ref="M31:M34"/>
    <mergeCell ref="O31:O34"/>
    <mergeCell ref="L32:L33"/>
    <mergeCell ref="C33:H33"/>
    <mergeCell ref="I33:K33"/>
    <mergeCell ref="C34:H34"/>
    <mergeCell ref="I34:K34"/>
    <mergeCell ref="A27:A30"/>
    <mergeCell ref="M27:M30"/>
    <mergeCell ref="O27:O30"/>
    <mergeCell ref="L28:L29"/>
    <mergeCell ref="C29:H29"/>
    <mergeCell ref="I29:K29"/>
    <mergeCell ref="C30:H30"/>
    <mergeCell ref="I30:K30"/>
    <mergeCell ref="A23:A26"/>
    <mergeCell ref="M23:M26"/>
    <mergeCell ref="O23:O26"/>
    <mergeCell ref="L24:L25"/>
    <mergeCell ref="C25:H25"/>
    <mergeCell ref="I25:K25"/>
    <mergeCell ref="C26:H26"/>
    <mergeCell ref="I26:K26"/>
    <mergeCell ref="A19:A22"/>
    <mergeCell ref="M19:M22"/>
    <mergeCell ref="O19:O22"/>
    <mergeCell ref="L20:L21"/>
    <mergeCell ref="C21:H21"/>
    <mergeCell ref="I21:K21"/>
    <mergeCell ref="C22:H22"/>
    <mergeCell ref="I22:K22"/>
    <mergeCell ref="A15:A18"/>
    <mergeCell ref="M15:M18"/>
    <mergeCell ref="O15:O18"/>
    <mergeCell ref="L16:L17"/>
    <mergeCell ref="C17:H17"/>
    <mergeCell ref="I17:K17"/>
    <mergeCell ref="C18:H18"/>
    <mergeCell ref="I18:K18"/>
    <mergeCell ref="A11:A14"/>
    <mergeCell ref="M11:M14"/>
    <mergeCell ref="O11:O14"/>
    <mergeCell ref="L12:L13"/>
    <mergeCell ref="C13:H13"/>
    <mergeCell ref="I13:K13"/>
    <mergeCell ref="C14:H14"/>
    <mergeCell ref="I14:K14"/>
    <mergeCell ref="A1:A2"/>
    <mergeCell ref="B1:B2"/>
    <mergeCell ref="C1:H1"/>
    <mergeCell ref="I1:K1"/>
    <mergeCell ref="A3:A6"/>
    <mergeCell ref="M3:M6"/>
    <mergeCell ref="A7:A10"/>
    <mergeCell ref="M7:M10"/>
    <mergeCell ref="O7:O10"/>
    <mergeCell ref="L8:L9"/>
    <mergeCell ref="C9:H9"/>
    <mergeCell ref="I9:K9"/>
    <mergeCell ref="C10:H10"/>
    <mergeCell ref="I10:K10"/>
    <mergeCell ref="O3:O6"/>
    <mergeCell ref="L4:L5"/>
    <mergeCell ref="C5:H5"/>
    <mergeCell ref="I5:K5"/>
    <mergeCell ref="C6:H6"/>
    <mergeCell ref="I6:K6"/>
  </mergeCells>
  <printOptions horizontalCentered="1"/>
  <pageMargins left="0.51181102362204722" right="0.51181102362204722" top="0.78740157480314965" bottom="0.39370078740157483" header="0.31496062992125984" footer="0.31496062992125984"/>
  <pageSetup paperSize="9" scale="60" orientation="portrait" horizontalDpi="300" verticalDpi="300" r:id="rId1"/>
  <headerFooter>
    <oddHeader>&amp;C&amp;"Arial,Negrito"&amp;14&amp;UMEMORIA DE CÁLCULO DA QUANTIDADE DE POSTOS DE TRABALHO (SERVENTES) 
ITEM 2 - UNIDADES ADMINISTRATIVAS - SEGUNDA À SEXTA-FEIRA.</oddHeader>
  </headerFooter>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27"/>
  <sheetViews>
    <sheetView zoomScaleNormal="100" workbookViewId="0">
      <pane ySplit="2" topLeftCell="A3" activePane="bottomLeft" state="frozen"/>
      <selection pane="bottomLeft" activeCell="A27" sqref="A27:I27"/>
    </sheetView>
  </sheetViews>
  <sheetFormatPr defaultRowHeight="15" x14ac:dyDescent="0.25"/>
  <cols>
    <col min="1" max="1" width="6.42578125" customWidth="1"/>
    <col min="2" max="2" width="21.42578125" customWidth="1"/>
    <col min="3" max="3" width="17.42578125" customWidth="1"/>
    <col min="4" max="6" width="12.7109375" customWidth="1"/>
    <col min="7" max="7" width="15.7109375" customWidth="1"/>
    <col min="8" max="8" width="17.28515625" customWidth="1"/>
    <col min="9" max="9" width="22.42578125" customWidth="1"/>
  </cols>
  <sheetData>
    <row r="1" spans="1:9" ht="70.5" customHeight="1" x14ac:dyDescent="0.25">
      <c r="A1" s="284" t="s">
        <v>574</v>
      </c>
      <c r="B1" s="286" t="s">
        <v>575</v>
      </c>
      <c r="C1" s="94" t="s">
        <v>642</v>
      </c>
      <c r="D1" s="289" t="s">
        <v>577</v>
      </c>
      <c r="E1" s="289"/>
      <c r="F1" s="289"/>
      <c r="G1" s="65" t="s">
        <v>568</v>
      </c>
      <c r="H1" s="386" t="s">
        <v>569</v>
      </c>
      <c r="I1" s="95" t="s">
        <v>578</v>
      </c>
    </row>
    <row r="2" spans="1:9" ht="30.75" customHeight="1" thickBot="1" x14ac:dyDescent="0.3">
      <c r="A2" s="285"/>
      <c r="B2" s="287"/>
      <c r="C2" s="67" t="s">
        <v>565</v>
      </c>
      <c r="D2" s="68" t="s">
        <v>583</v>
      </c>
      <c r="E2" s="68" t="s">
        <v>584</v>
      </c>
      <c r="F2" s="68" t="s">
        <v>585</v>
      </c>
      <c r="G2" s="69" t="s">
        <v>586</v>
      </c>
      <c r="H2" s="387"/>
      <c r="I2" s="70" t="s">
        <v>587</v>
      </c>
    </row>
    <row r="3" spans="1:9" ht="30.75" customHeight="1" x14ac:dyDescent="0.25">
      <c r="A3" s="479">
        <v>47</v>
      </c>
      <c r="B3" s="171" t="s">
        <v>737</v>
      </c>
      <c r="C3" s="172">
        <f>89.24+13.82</f>
        <v>103.06</v>
      </c>
      <c r="D3" s="172">
        <v>2607.13</v>
      </c>
      <c r="E3" s="172">
        <v>0</v>
      </c>
      <c r="F3" s="172">
        <v>2607.13</v>
      </c>
      <c r="G3" s="173">
        <v>1003.57</v>
      </c>
      <c r="H3" s="139">
        <f>3125.45+117.37</f>
        <v>3242.8199999999997</v>
      </c>
      <c r="I3" s="394">
        <f>SUM(C6:H6)</f>
        <v>14</v>
      </c>
    </row>
    <row r="4" spans="1:9" ht="30.75" customHeight="1" x14ac:dyDescent="0.25">
      <c r="A4" s="460"/>
      <c r="B4" s="76" t="s">
        <v>589</v>
      </c>
      <c r="C4" s="298">
        <f>C3/'[1]PRODUTIVIDADE IN 05-2017'!$K$3</f>
        <v>0.51529999999999998</v>
      </c>
      <c r="D4" s="77">
        <f>D3/'[1]PRODUTIVIDADE IN 05-2017'!$A$7</f>
        <v>1.4484055555555557</v>
      </c>
      <c r="E4" s="77">
        <f>E3/'[1]PRODUTIVIDADE IN 05-2017'!$C$7</f>
        <v>0</v>
      </c>
      <c r="F4" s="77">
        <f>F3/'[1]PRODUTIVIDADE IN 05-2017'!$E$7</f>
        <v>2.6071300000000002E-2</v>
      </c>
      <c r="G4" s="330">
        <f>G3/'[1]PRODUTIVIDADE IN 05-2017'!$G$7</f>
        <v>3.3452333333333333</v>
      </c>
      <c r="H4" s="390">
        <f>H3/'[1]PRODUTIVIDADE IN 05-2017'!$I$7</f>
        <v>9.0078333333333322</v>
      </c>
      <c r="I4" s="395"/>
    </row>
    <row r="5" spans="1:9" ht="30.75" customHeight="1" x14ac:dyDescent="0.25">
      <c r="A5" s="460"/>
      <c r="B5" s="76" t="s">
        <v>590</v>
      </c>
      <c r="C5" s="299"/>
      <c r="D5" s="300">
        <f>SUM(D4:F4)</f>
        <v>1.4744768555555556</v>
      </c>
      <c r="E5" s="301"/>
      <c r="F5" s="302"/>
      <c r="G5" s="389"/>
      <c r="H5" s="391"/>
      <c r="I5" s="395"/>
    </row>
    <row r="6" spans="1:9" ht="30.75" customHeight="1" x14ac:dyDescent="0.25">
      <c r="A6" s="460"/>
      <c r="B6" s="174" t="s">
        <v>591</v>
      </c>
      <c r="C6" s="175">
        <v>1</v>
      </c>
      <c r="D6" s="392">
        <v>1</v>
      </c>
      <c r="E6" s="393"/>
      <c r="F6" s="393"/>
      <c r="G6" s="176">
        <v>3</v>
      </c>
      <c r="H6" s="176">
        <v>9</v>
      </c>
      <c r="I6" s="395"/>
    </row>
    <row r="7" spans="1:9" ht="30.75" customHeight="1" x14ac:dyDescent="0.25">
      <c r="A7" s="476">
        <v>48</v>
      </c>
      <c r="B7" s="147" t="s">
        <v>643</v>
      </c>
      <c r="C7" s="148">
        <v>51.7</v>
      </c>
      <c r="D7" s="148">
        <v>230.17</v>
      </c>
      <c r="E7" s="148">
        <v>0</v>
      </c>
      <c r="F7" s="148">
        <v>0</v>
      </c>
      <c r="G7" s="148">
        <v>38.4</v>
      </c>
      <c r="H7" s="148">
        <v>648.14</v>
      </c>
      <c r="I7" s="396">
        <f>SUM(C10:H10)</f>
        <v>2</v>
      </c>
    </row>
    <row r="8" spans="1:9" ht="30.75" customHeight="1" x14ac:dyDescent="0.25">
      <c r="A8" s="476"/>
      <c r="B8" s="147" t="s">
        <v>589</v>
      </c>
      <c r="C8" s="397">
        <f>C7/'[1]PRODUTIVIDADE IN 05-2017'!$K$3</f>
        <v>0.25850000000000001</v>
      </c>
      <c r="D8" s="148">
        <f>D7/'[1]PRODUTIVIDADE IN 05-2017'!$A$7</f>
        <v>0.12787222222222222</v>
      </c>
      <c r="E8" s="148">
        <f>E7/'[1]PRODUTIVIDADE IN 05-2017'!$C$7</f>
        <v>0</v>
      </c>
      <c r="F8" s="148">
        <f>F7/'[1]PRODUTIVIDADE IN 05-2017'!$E$7</f>
        <v>0</v>
      </c>
      <c r="G8" s="397">
        <f>G7/'[1]PRODUTIVIDADE IN 05-2017'!$G$7</f>
        <v>0.128</v>
      </c>
      <c r="H8" s="397">
        <f>H7/'[1]PRODUTIVIDADE IN 05-2017'!$I$7</f>
        <v>1.8003888888888888</v>
      </c>
      <c r="I8" s="276"/>
    </row>
    <row r="9" spans="1:9" ht="30.75" customHeight="1" x14ac:dyDescent="0.25">
      <c r="A9" s="476"/>
      <c r="B9" s="147" t="s">
        <v>590</v>
      </c>
      <c r="C9" s="397"/>
      <c r="D9" s="397">
        <f>SUM(D8:F8)</f>
        <v>0.12787222222222222</v>
      </c>
      <c r="E9" s="397"/>
      <c r="F9" s="397"/>
      <c r="G9" s="397"/>
      <c r="H9" s="397"/>
      <c r="I9" s="276"/>
    </row>
    <row r="10" spans="1:9" ht="30.75" customHeight="1" x14ac:dyDescent="0.25">
      <c r="A10" s="476"/>
      <c r="B10" s="147" t="s">
        <v>591</v>
      </c>
      <c r="C10" s="161">
        <v>0</v>
      </c>
      <c r="D10" s="398">
        <v>0</v>
      </c>
      <c r="E10" s="398"/>
      <c r="F10" s="398"/>
      <c r="G10" s="161">
        <v>0</v>
      </c>
      <c r="H10" s="161">
        <v>2</v>
      </c>
      <c r="I10" s="399"/>
    </row>
    <row r="11" spans="1:9" ht="30.75" customHeight="1" x14ac:dyDescent="0.25">
      <c r="A11" s="477">
        <v>49</v>
      </c>
      <c r="B11" s="96" t="s">
        <v>644</v>
      </c>
      <c r="C11" s="139">
        <v>69.47</v>
      </c>
      <c r="D11" s="162">
        <v>177</v>
      </c>
      <c r="E11" s="139">
        <v>0</v>
      </c>
      <c r="F11" s="139">
        <v>0</v>
      </c>
      <c r="G11" s="139">
        <v>79.45</v>
      </c>
      <c r="H11" s="162">
        <v>931.81</v>
      </c>
      <c r="I11" s="383">
        <f>SUM(C14:H14)</f>
        <v>3</v>
      </c>
    </row>
    <row r="12" spans="1:9" ht="30.75" customHeight="1" x14ac:dyDescent="0.25">
      <c r="A12" s="477"/>
      <c r="B12" s="96" t="s">
        <v>589</v>
      </c>
      <c r="C12" s="385">
        <f>C11/'[1]PRODUTIVIDADE IN 05-2017'!$K$3</f>
        <v>0.34734999999999999</v>
      </c>
      <c r="D12" s="139">
        <f>D11/'[1]PRODUTIVIDADE IN 05-2017'!$A$7</f>
        <v>9.8333333333333328E-2</v>
      </c>
      <c r="E12" s="139">
        <f>E11/'[1]PRODUTIVIDADE IN 05-2017'!$C$7</f>
        <v>0</v>
      </c>
      <c r="F12" s="139">
        <f>F11/'[1]PRODUTIVIDADE IN 05-2017'!$E$7</f>
        <v>0</v>
      </c>
      <c r="G12" s="385">
        <f>G11/'[1]PRODUTIVIDADE IN 05-2017'!$G$7</f>
        <v>0.26483333333333337</v>
      </c>
      <c r="H12" s="385">
        <f>H11/'[1]PRODUTIVIDADE IN 05-2017'!$I$7</f>
        <v>2.5883611111111109</v>
      </c>
      <c r="I12" s="277"/>
    </row>
    <row r="13" spans="1:9" ht="30.75" customHeight="1" x14ac:dyDescent="0.25">
      <c r="A13" s="477"/>
      <c r="B13" s="96" t="s">
        <v>590</v>
      </c>
      <c r="C13" s="385"/>
      <c r="D13" s="385">
        <f>SUM(D12:F12)</f>
        <v>9.8333333333333328E-2</v>
      </c>
      <c r="E13" s="385"/>
      <c r="F13" s="385"/>
      <c r="G13" s="385"/>
      <c r="H13" s="385"/>
      <c r="I13" s="277"/>
    </row>
    <row r="14" spans="1:9" ht="30.75" customHeight="1" x14ac:dyDescent="0.25">
      <c r="A14" s="477"/>
      <c r="B14" s="96" t="s">
        <v>591</v>
      </c>
      <c r="C14" s="150">
        <v>0</v>
      </c>
      <c r="D14" s="333">
        <v>0</v>
      </c>
      <c r="E14" s="333"/>
      <c r="F14" s="333"/>
      <c r="G14" s="150">
        <v>0</v>
      </c>
      <c r="H14" s="150">
        <v>3</v>
      </c>
      <c r="I14" s="384"/>
    </row>
    <row r="15" spans="1:9" ht="30.75" customHeight="1" x14ac:dyDescent="0.25">
      <c r="A15" s="476">
        <v>50</v>
      </c>
      <c r="B15" s="147" t="s">
        <v>645</v>
      </c>
      <c r="C15" s="148">
        <v>38</v>
      </c>
      <c r="D15" s="148">
        <v>63.23</v>
      </c>
      <c r="E15" s="148">
        <v>0</v>
      </c>
      <c r="F15" s="148">
        <v>0</v>
      </c>
      <c r="G15" s="148">
        <v>58.07</v>
      </c>
      <c r="H15" s="163">
        <v>640.58000000000004</v>
      </c>
      <c r="I15" s="396">
        <v>4</v>
      </c>
    </row>
    <row r="16" spans="1:9" ht="30.75" customHeight="1" x14ac:dyDescent="0.25">
      <c r="A16" s="476"/>
      <c r="B16" s="147" t="s">
        <v>589</v>
      </c>
      <c r="C16" s="397">
        <f>C15/'[1]PRODUTIVIDADE IN 05-2017'!$K$3</f>
        <v>0.19</v>
      </c>
      <c r="D16" s="148">
        <f>D15/'[1]PRODUTIVIDADE IN 05-2017'!$A$7</f>
        <v>3.5127777777777779E-2</v>
      </c>
      <c r="E16" s="148">
        <f>E15/'[1]PRODUTIVIDADE IN 05-2017'!$C$7</f>
        <v>0</v>
      </c>
      <c r="F16" s="148">
        <f>F15/'[1]PRODUTIVIDADE IN 05-2017'!$E$7</f>
        <v>0</v>
      </c>
      <c r="G16" s="397">
        <f>G15/'[1]PRODUTIVIDADE IN 05-2017'!$G$7</f>
        <v>0.19356666666666666</v>
      </c>
      <c r="H16" s="397">
        <f>H15/'[1]PRODUTIVIDADE IN 05-2017'!$I$7</f>
        <v>1.7793888888888889</v>
      </c>
      <c r="I16" s="396"/>
    </row>
    <row r="17" spans="1:9" ht="30.75" customHeight="1" x14ac:dyDescent="0.25">
      <c r="A17" s="476"/>
      <c r="B17" s="147" t="s">
        <v>590</v>
      </c>
      <c r="C17" s="397"/>
      <c r="D17" s="397">
        <f>SUM(D16:F16)</f>
        <v>3.5127777777777779E-2</v>
      </c>
      <c r="E17" s="397"/>
      <c r="F17" s="397"/>
      <c r="G17" s="397"/>
      <c r="H17" s="397"/>
      <c r="I17" s="396"/>
    </row>
    <row r="18" spans="1:9" ht="30.75" customHeight="1" x14ac:dyDescent="0.25">
      <c r="A18" s="476"/>
      <c r="B18" s="147" t="s">
        <v>591</v>
      </c>
      <c r="C18" s="161">
        <v>0</v>
      </c>
      <c r="D18" s="398">
        <v>0</v>
      </c>
      <c r="E18" s="398"/>
      <c r="F18" s="398"/>
      <c r="G18" s="161">
        <v>0</v>
      </c>
      <c r="H18" s="161">
        <v>2</v>
      </c>
      <c r="I18" s="396"/>
    </row>
    <row r="19" spans="1:9" ht="30.75" customHeight="1" x14ac:dyDescent="0.25">
      <c r="A19" s="477">
        <v>51</v>
      </c>
      <c r="B19" s="96" t="s">
        <v>646</v>
      </c>
      <c r="C19" s="139">
        <v>273.42</v>
      </c>
      <c r="D19" s="139">
        <v>0</v>
      </c>
      <c r="E19" s="139">
        <v>0</v>
      </c>
      <c r="F19" s="139">
        <v>0</v>
      </c>
      <c r="G19" s="139">
        <v>0</v>
      </c>
      <c r="H19" s="162">
        <v>7033.62</v>
      </c>
      <c r="I19" s="383">
        <f>SUM(C22:H22)</f>
        <v>21</v>
      </c>
    </row>
    <row r="20" spans="1:9" ht="30.75" customHeight="1" x14ac:dyDescent="0.25">
      <c r="A20" s="477"/>
      <c r="B20" s="96" t="s">
        <v>589</v>
      </c>
      <c r="C20" s="385">
        <f>C19/'[1]PRODUTIVIDADE IN 05-2017'!$K$3</f>
        <v>1.3671</v>
      </c>
      <c r="D20" s="139">
        <f>D19/'[1]PRODUTIVIDADE IN 05-2017'!$A$7</f>
        <v>0</v>
      </c>
      <c r="E20" s="139">
        <f>E19/'[1]PRODUTIVIDADE IN 05-2017'!$C$7</f>
        <v>0</v>
      </c>
      <c r="F20" s="139">
        <f>F19/'[1]PRODUTIVIDADE IN 05-2017'!$E$7</f>
        <v>0</v>
      </c>
      <c r="G20" s="385">
        <f>G19/'[1]PRODUTIVIDADE IN 05-2017'!$G$7</f>
        <v>0</v>
      </c>
      <c r="H20" s="385">
        <f>H19/'[1]PRODUTIVIDADE IN 05-2017'!$I$7</f>
        <v>19.537833333333332</v>
      </c>
      <c r="I20" s="383"/>
    </row>
    <row r="21" spans="1:9" ht="30.75" customHeight="1" x14ac:dyDescent="0.25">
      <c r="A21" s="477"/>
      <c r="B21" s="96" t="s">
        <v>590</v>
      </c>
      <c r="C21" s="385"/>
      <c r="D21" s="385">
        <f>SUM(D20:F20)</f>
        <v>0</v>
      </c>
      <c r="E21" s="385"/>
      <c r="F21" s="385"/>
      <c r="G21" s="385"/>
      <c r="H21" s="385"/>
      <c r="I21" s="383"/>
    </row>
    <row r="22" spans="1:9" ht="30.75" customHeight="1" x14ac:dyDescent="0.25">
      <c r="A22" s="477"/>
      <c r="B22" s="96" t="s">
        <v>591</v>
      </c>
      <c r="C22" s="150">
        <v>1</v>
      </c>
      <c r="D22" s="333">
        <v>0</v>
      </c>
      <c r="E22" s="333"/>
      <c r="F22" s="333"/>
      <c r="G22" s="150">
        <v>0</v>
      </c>
      <c r="H22" s="150">
        <v>20</v>
      </c>
      <c r="I22" s="383"/>
    </row>
    <row r="23" spans="1:9" ht="30.75" customHeight="1" x14ac:dyDescent="0.25">
      <c r="A23" s="339" t="s">
        <v>647</v>
      </c>
      <c r="B23" s="339"/>
      <c r="C23" s="339"/>
      <c r="D23" s="339"/>
      <c r="E23" s="339"/>
      <c r="F23" s="339"/>
      <c r="G23" s="339"/>
      <c r="H23" s="339"/>
      <c r="I23" s="87">
        <f>SUM(I3:I14)</f>
        <v>19</v>
      </c>
    </row>
    <row r="24" spans="1:9" ht="30.75" customHeight="1" x14ac:dyDescent="0.25">
      <c r="A24" s="339" t="s">
        <v>648</v>
      </c>
      <c r="B24" s="339"/>
      <c r="C24" s="339"/>
      <c r="D24" s="339"/>
      <c r="E24" s="339"/>
      <c r="F24" s="339"/>
      <c r="G24" s="339"/>
      <c r="H24" s="339"/>
      <c r="I24" s="87">
        <f>SUM(I15:I22)</f>
        <v>25</v>
      </c>
    </row>
    <row r="25" spans="1:9" ht="30.75" customHeight="1" x14ac:dyDescent="0.25">
      <c r="A25" s="339" t="s">
        <v>649</v>
      </c>
      <c r="B25" s="339"/>
      <c r="C25" s="339"/>
      <c r="D25" s="339"/>
      <c r="E25" s="339"/>
      <c r="F25" s="339"/>
      <c r="G25" s="339"/>
      <c r="H25" s="339"/>
      <c r="I25" s="87">
        <f>SUM(I23:I24)</f>
        <v>44</v>
      </c>
    </row>
    <row r="26" spans="1:9" ht="18.75" customHeight="1" x14ac:dyDescent="0.25">
      <c r="A26" s="352" t="s">
        <v>625</v>
      </c>
      <c r="B26" s="352"/>
      <c r="C26" s="352"/>
      <c r="D26" s="352"/>
      <c r="E26" s="352"/>
      <c r="F26" s="352"/>
      <c r="G26" s="352"/>
      <c r="H26" s="352"/>
      <c r="I26" s="352"/>
    </row>
    <row r="27" spans="1:9" ht="107.25" customHeight="1" x14ac:dyDescent="0.25">
      <c r="A27" s="480" t="s">
        <v>748</v>
      </c>
      <c r="B27" s="481"/>
      <c r="C27" s="481"/>
      <c r="D27" s="481"/>
      <c r="E27" s="481"/>
      <c r="F27" s="481"/>
      <c r="G27" s="481"/>
      <c r="H27" s="481"/>
      <c r="I27" s="481"/>
    </row>
  </sheetData>
  <mergeCells count="44">
    <mergeCell ref="A23:H23"/>
    <mergeCell ref="A24:H24"/>
    <mergeCell ref="A25:H25"/>
    <mergeCell ref="A26:I26"/>
    <mergeCell ref="A27:I27"/>
    <mergeCell ref="A19:A22"/>
    <mergeCell ref="I19:I22"/>
    <mergeCell ref="C20:C21"/>
    <mergeCell ref="G20:G21"/>
    <mergeCell ref="H20:H21"/>
    <mergeCell ref="D21:F21"/>
    <mergeCell ref="D22:F22"/>
    <mergeCell ref="I3:I6"/>
    <mergeCell ref="A15:A18"/>
    <mergeCell ref="I15:I18"/>
    <mergeCell ref="C16:C17"/>
    <mergeCell ref="G16:G17"/>
    <mergeCell ref="H16:H17"/>
    <mergeCell ref="D17:F17"/>
    <mergeCell ref="D18:F18"/>
    <mergeCell ref="A7:A10"/>
    <mergeCell ref="I7:I10"/>
    <mergeCell ref="C8:C9"/>
    <mergeCell ref="G8:G9"/>
    <mergeCell ref="H8:H9"/>
    <mergeCell ref="D9:F9"/>
    <mergeCell ref="D10:F10"/>
    <mergeCell ref="A11:A14"/>
    <mergeCell ref="A1:A2"/>
    <mergeCell ref="B1:B2"/>
    <mergeCell ref="D1:F1"/>
    <mergeCell ref="H1:H2"/>
    <mergeCell ref="A3:A6"/>
    <mergeCell ref="C4:C5"/>
    <mergeCell ref="G4:G5"/>
    <mergeCell ref="H4:H5"/>
    <mergeCell ref="D5:F5"/>
    <mergeCell ref="D6:F6"/>
    <mergeCell ref="I11:I14"/>
    <mergeCell ref="G12:G13"/>
    <mergeCell ref="H12:H13"/>
    <mergeCell ref="D13:F13"/>
    <mergeCell ref="C12:C13"/>
    <mergeCell ref="D14:F14"/>
  </mergeCells>
  <printOptions horizontalCentered="1"/>
  <pageMargins left="0.51181102362204722" right="0.51181102362204722" top="0.78740157480314965" bottom="0.78740157480314965" header="0.31496062992125984" footer="0.31496062992125984"/>
  <pageSetup paperSize="9" scale="67" fitToHeight="0" orientation="portrait" horizontalDpi="300" verticalDpi="300" r:id="rId1"/>
  <headerFooter>
    <oddHeader>&amp;C&amp;"Arial,Negrito"&amp;14&amp;UMEMORIA DE CÁLCULO DA QUANTIDADE DE POSTOS DE TRABALHO (SERVENTES) 
ITEM 3 - UNIDADES HOSPITALARES - SEGUNDA À SEXTA-FEIRA.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55"/>
  <sheetViews>
    <sheetView showGridLines="0" zoomScaleNormal="100" workbookViewId="0">
      <selection activeCell="B10" sqref="B10"/>
    </sheetView>
  </sheetViews>
  <sheetFormatPr defaultRowHeight="15" x14ac:dyDescent="0.2"/>
  <cols>
    <col min="1" max="1" width="12.140625" style="15" customWidth="1"/>
    <col min="2" max="2" width="72.140625" style="15" customWidth="1"/>
    <col min="3" max="3" width="21.7109375" style="15" customWidth="1"/>
    <col min="4" max="4" width="20.140625" style="15" customWidth="1"/>
    <col min="5" max="5" width="12.7109375" style="15" customWidth="1"/>
    <col min="6" max="6" width="12" style="15" customWidth="1"/>
    <col min="7" max="7" width="15.140625" style="15" customWidth="1"/>
    <col min="8" max="16384" width="9.140625" style="15"/>
  </cols>
  <sheetData>
    <row r="1" spans="1:4" ht="23.25" x14ac:dyDescent="0.35">
      <c r="A1" s="200" t="s">
        <v>26</v>
      </c>
      <c r="B1" s="200"/>
      <c r="C1" s="200"/>
      <c r="D1" s="200"/>
    </row>
    <row r="2" spans="1:4" x14ac:dyDescent="0.2">
      <c r="A2" s="205" t="s">
        <v>27</v>
      </c>
      <c r="B2" s="205"/>
      <c r="C2" s="205"/>
      <c r="D2" s="205"/>
    </row>
    <row r="4" spans="1:4" ht="17.25" customHeight="1" x14ac:dyDescent="0.2">
      <c r="A4" s="34"/>
      <c r="B4" s="35" t="s">
        <v>28</v>
      </c>
      <c r="C4" s="37" t="s">
        <v>29</v>
      </c>
    </row>
    <row r="5" spans="1:4" ht="17.25" customHeight="1" x14ac:dyDescent="0.2">
      <c r="A5" s="34"/>
      <c r="B5" s="35" t="s">
        <v>30</v>
      </c>
      <c r="C5" s="36"/>
    </row>
    <row r="7" spans="1:4" ht="18" customHeight="1" x14ac:dyDescent="0.2">
      <c r="A7" s="198" t="s">
        <v>31</v>
      </c>
      <c r="B7" s="198"/>
      <c r="C7" s="198"/>
    </row>
    <row r="8" spans="1:4" ht="15" customHeight="1" x14ac:dyDescent="0.2">
      <c r="A8" s="38"/>
      <c r="B8" s="38"/>
      <c r="C8" s="38"/>
    </row>
    <row r="9" spans="1:4" ht="18" customHeight="1" x14ac:dyDescent="0.2">
      <c r="A9" s="37" t="s">
        <v>32</v>
      </c>
      <c r="B9" s="39" t="s">
        <v>33</v>
      </c>
      <c r="C9" s="37"/>
    </row>
    <row r="10" spans="1:4" ht="18" customHeight="1" x14ac:dyDescent="0.2">
      <c r="A10" s="37" t="s">
        <v>34</v>
      </c>
      <c r="B10" s="39" t="s">
        <v>35</v>
      </c>
      <c r="C10" s="37" t="s">
        <v>36</v>
      </c>
    </row>
    <row r="11" spans="1:4" ht="30" x14ac:dyDescent="0.2">
      <c r="A11" s="37" t="s">
        <v>37</v>
      </c>
      <c r="B11" s="39" t="s">
        <v>38</v>
      </c>
      <c r="C11" s="43" t="s">
        <v>39</v>
      </c>
    </row>
    <row r="12" spans="1:4" ht="18" customHeight="1" x14ac:dyDescent="0.2">
      <c r="A12" s="37" t="s">
        <v>40</v>
      </c>
      <c r="B12" s="39" t="s">
        <v>41</v>
      </c>
      <c r="C12" s="37">
        <v>30</v>
      </c>
    </row>
    <row r="13" spans="1:4" ht="18" customHeight="1" x14ac:dyDescent="0.2">
      <c r="A13" s="37" t="s">
        <v>42</v>
      </c>
      <c r="B13" s="39" t="s">
        <v>43</v>
      </c>
      <c r="C13" s="105">
        <f>'QTD SERVENTE - ITEM 1'!K137</f>
        <v>98</v>
      </c>
    </row>
    <row r="15" spans="1:4" ht="15" customHeight="1" x14ac:dyDescent="0.2">
      <c r="A15" s="45"/>
      <c r="B15" s="45"/>
    </row>
    <row r="16" spans="1:4" ht="17.25" customHeight="1" x14ac:dyDescent="0.2">
      <c r="A16" s="198" t="s">
        <v>44</v>
      </c>
      <c r="B16" s="198"/>
      <c r="C16" s="198"/>
    </row>
    <row r="17" spans="1:3" ht="12.75" customHeight="1" x14ac:dyDescent="0.2"/>
    <row r="18" spans="1:3" ht="15.75" x14ac:dyDescent="0.25">
      <c r="A18" s="199" t="s">
        <v>45</v>
      </c>
      <c r="B18" s="199"/>
      <c r="C18" s="199"/>
    </row>
    <row r="19" spans="1:3" ht="15" customHeight="1" x14ac:dyDescent="0.25">
      <c r="A19" s="40"/>
      <c r="B19" s="40"/>
      <c r="C19" s="40"/>
    </row>
    <row r="20" spans="1:3" ht="30" x14ac:dyDescent="0.2">
      <c r="A20" s="41">
        <v>1</v>
      </c>
      <c r="B20" s="42" t="s">
        <v>46</v>
      </c>
      <c r="C20" s="43" t="s">
        <v>47</v>
      </c>
    </row>
    <row r="21" spans="1:3" ht="18" customHeight="1" x14ac:dyDescent="0.2">
      <c r="A21" s="41">
        <v>2</v>
      </c>
      <c r="B21" s="42" t="s">
        <v>48</v>
      </c>
      <c r="C21" s="37" t="s">
        <v>49</v>
      </c>
    </row>
    <row r="22" spans="1:3" ht="30" x14ac:dyDescent="0.2">
      <c r="A22" s="41">
        <v>3</v>
      </c>
      <c r="B22" s="42" t="s">
        <v>50</v>
      </c>
      <c r="C22" s="43" t="s">
        <v>51</v>
      </c>
    </row>
    <row r="23" spans="1:3" ht="17.25" customHeight="1" x14ac:dyDescent="0.2">
      <c r="A23" s="37">
        <v>4</v>
      </c>
      <c r="B23" s="42" t="s">
        <v>52</v>
      </c>
      <c r="C23" s="44">
        <v>44562</v>
      </c>
    </row>
    <row r="25" spans="1:3" ht="15.75" x14ac:dyDescent="0.2">
      <c r="A25" s="198" t="s">
        <v>53</v>
      </c>
      <c r="B25" s="198"/>
      <c r="C25" s="198"/>
    </row>
    <row r="26" spans="1:3" ht="15.75" thickBot="1" x14ac:dyDescent="0.25"/>
    <row r="27" spans="1:3" ht="16.5" thickBot="1" x14ac:dyDescent="0.25">
      <c r="A27" s="16">
        <v>1</v>
      </c>
      <c r="B27" s="17" t="s">
        <v>54</v>
      </c>
      <c r="C27" s="17" t="s">
        <v>55</v>
      </c>
    </row>
    <row r="28" spans="1:3" ht="15.75" thickBot="1" x14ac:dyDescent="0.25">
      <c r="A28" s="18" t="s">
        <v>32</v>
      </c>
      <c r="B28" s="19" t="s">
        <v>56</v>
      </c>
      <c r="C28" s="20">
        <v>1416.75</v>
      </c>
    </row>
    <row r="29" spans="1:3" ht="15.75" thickBot="1" x14ac:dyDescent="0.25">
      <c r="A29" s="18" t="s">
        <v>34</v>
      </c>
      <c r="B29" s="19" t="s">
        <v>57</v>
      </c>
      <c r="C29" s="20"/>
    </row>
    <row r="30" spans="1:3" ht="15.75" thickBot="1" x14ac:dyDescent="0.25">
      <c r="A30" s="18" t="s">
        <v>37</v>
      </c>
      <c r="B30" s="19" t="s">
        <v>58</v>
      </c>
      <c r="C30" s="20"/>
    </row>
    <row r="31" spans="1:3" ht="15.75" thickBot="1" x14ac:dyDescent="0.25">
      <c r="A31" s="18" t="s">
        <v>40</v>
      </c>
      <c r="B31" s="19" t="s">
        <v>59</v>
      </c>
      <c r="C31" s="20"/>
    </row>
    <row r="32" spans="1:3" ht="15.75" thickBot="1" x14ac:dyDescent="0.25">
      <c r="A32" s="18" t="s">
        <v>42</v>
      </c>
      <c r="B32" s="19" t="s">
        <v>60</v>
      </c>
      <c r="C32" s="20"/>
    </row>
    <row r="33" spans="1:4" ht="15.75" thickBot="1" x14ac:dyDescent="0.25">
      <c r="A33" s="18"/>
      <c r="B33" s="19"/>
      <c r="C33" s="20"/>
    </row>
    <row r="34" spans="1:4" ht="15.75" thickBot="1" x14ac:dyDescent="0.25">
      <c r="A34" s="18" t="s">
        <v>61</v>
      </c>
      <c r="B34" s="19" t="s">
        <v>62</v>
      </c>
      <c r="C34" s="20"/>
    </row>
    <row r="35" spans="1:4" ht="16.5" thickBot="1" x14ac:dyDescent="0.25">
      <c r="A35" s="195" t="s">
        <v>63</v>
      </c>
      <c r="B35" s="196"/>
      <c r="C35" s="21">
        <f>SUM(C28:C34)</f>
        <v>1416.75</v>
      </c>
    </row>
    <row r="38" spans="1:4" ht="15.75" x14ac:dyDescent="0.2">
      <c r="A38" s="198" t="s">
        <v>64</v>
      </c>
      <c r="B38" s="198"/>
      <c r="C38" s="198"/>
    </row>
    <row r="39" spans="1:4" ht="15.75" x14ac:dyDescent="0.2">
      <c r="A39" s="22"/>
    </row>
    <row r="40" spans="1:4" ht="15.75" x14ac:dyDescent="0.2">
      <c r="A40" s="194" t="s">
        <v>65</v>
      </c>
      <c r="B40" s="194"/>
      <c r="C40" s="194"/>
    </row>
    <row r="41" spans="1:4" ht="15.75" thickBot="1" x14ac:dyDescent="0.25"/>
    <row r="42" spans="1:4" ht="16.5" thickBot="1" x14ac:dyDescent="0.25">
      <c r="A42" s="16" t="s">
        <v>66</v>
      </c>
      <c r="B42" s="17" t="s">
        <v>67</v>
      </c>
      <c r="C42" s="17" t="s">
        <v>55</v>
      </c>
    </row>
    <row r="43" spans="1:4" ht="15.75" thickBot="1" x14ac:dyDescent="0.25">
      <c r="A43" s="18" t="s">
        <v>32</v>
      </c>
      <c r="B43" s="19" t="s">
        <v>68</v>
      </c>
      <c r="C43" s="20">
        <f>C35*8.33%</f>
        <v>118.015275</v>
      </c>
    </row>
    <row r="44" spans="1:4" ht="15.75" thickBot="1" x14ac:dyDescent="0.25">
      <c r="A44" s="18" t="s">
        <v>34</v>
      </c>
      <c r="B44" s="19" t="s">
        <v>69</v>
      </c>
      <c r="C44" s="20">
        <f>C35*2.78%</f>
        <v>39.385649999999998</v>
      </c>
    </row>
    <row r="45" spans="1:4" ht="16.5" thickBot="1" x14ac:dyDescent="0.25">
      <c r="A45" s="195" t="s">
        <v>63</v>
      </c>
      <c r="B45" s="196"/>
      <c r="C45" s="21">
        <f>SUM(C43:C44)</f>
        <v>157.400925</v>
      </c>
    </row>
    <row r="48" spans="1:4" ht="32.25" customHeight="1" x14ac:dyDescent="0.2">
      <c r="A48" s="197" t="s">
        <v>70</v>
      </c>
      <c r="B48" s="197"/>
      <c r="C48" s="197"/>
      <c r="D48" s="197"/>
    </row>
    <row r="49" spans="1:4" ht="15.75" thickBot="1" x14ac:dyDescent="0.25"/>
    <row r="50" spans="1:4" ht="16.5" thickBot="1" x14ac:dyDescent="0.25">
      <c r="A50" s="16" t="s">
        <v>71</v>
      </c>
      <c r="B50" s="17" t="s">
        <v>72</v>
      </c>
      <c r="C50" s="17" t="s">
        <v>73</v>
      </c>
      <c r="D50" s="17" t="s">
        <v>55</v>
      </c>
    </row>
    <row r="51" spans="1:4" ht="15.75" thickBot="1" x14ac:dyDescent="0.25">
      <c r="A51" s="18" t="s">
        <v>32</v>
      </c>
      <c r="B51" s="19" t="s">
        <v>74</v>
      </c>
      <c r="C51" s="23">
        <v>0.2</v>
      </c>
      <c r="D51" s="20">
        <f t="shared" ref="D51:D58" si="0">($C$35+$C$45)*C51</f>
        <v>314.83018500000003</v>
      </c>
    </row>
    <row r="52" spans="1:4" ht="15.75" thickBot="1" x14ac:dyDescent="0.25">
      <c r="A52" s="18" t="s">
        <v>34</v>
      </c>
      <c r="B52" s="19" t="s">
        <v>75</v>
      </c>
      <c r="C52" s="23">
        <v>2.5000000000000001E-2</v>
      </c>
      <c r="D52" s="20">
        <f t="shared" si="0"/>
        <v>39.353773125000004</v>
      </c>
    </row>
    <row r="53" spans="1:4" ht="15.75" thickBot="1" x14ac:dyDescent="0.25">
      <c r="A53" s="18" t="s">
        <v>37</v>
      </c>
      <c r="B53" s="19" t="s">
        <v>76</v>
      </c>
      <c r="C53" s="23">
        <v>0.03</v>
      </c>
      <c r="D53" s="20">
        <f t="shared" si="0"/>
        <v>47.224527749999993</v>
      </c>
    </row>
    <row r="54" spans="1:4" ht="15.75" thickBot="1" x14ac:dyDescent="0.25">
      <c r="A54" s="18" t="s">
        <v>40</v>
      </c>
      <c r="B54" s="19" t="s">
        <v>77</v>
      </c>
      <c r="C54" s="23">
        <v>1.4999999999999999E-2</v>
      </c>
      <c r="D54" s="20">
        <f t="shared" si="0"/>
        <v>23.612263874999996</v>
      </c>
    </row>
    <row r="55" spans="1:4" ht="15.75" thickBot="1" x14ac:dyDescent="0.25">
      <c r="A55" s="18" t="s">
        <v>42</v>
      </c>
      <c r="B55" s="19" t="s">
        <v>78</v>
      </c>
      <c r="C55" s="23">
        <v>0.01</v>
      </c>
      <c r="D55" s="20">
        <f t="shared" si="0"/>
        <v>15.74150925</v>
      </c>
    </row>
    <row r="56" spans="1:4" ht="15.75" thickBot="1" x14ac:dyDescent="0.25">
      <c r="A56" s="18" t="s">
        <v>79</v>
      </c>
      <c r="B56" s="19" t="s">
        <v>80</v>
      </c>
      <c r="C56" s="23">
        <v>6.0000000000000001E-3</v>
      </c>
      <c r="D56" s="20">
        <f t="shared" si="0"/>
        <v>9.4449055499999996</v>
      </c>
    </row>
    <row r="57" spans="1:4" ht="15.75" thickBot="1" x14ac:dyDescent="0.25">
      <c r="A57" s="18" t="s">
        <v>61</v>
      </c>
      <c r="B57" s="19" t="s">
        <v>81</v>
      </c>
      <c r="C57" s="23">
        <v>2E-3</v>
      </c>
      <c r="D57" s="20">
        <f t="shared" si="0"/>
        <v>3.1483018499999997</v>
      </c>
    </row>
    <row r="58" spans="1:4" ht="15.75" thickBot="1" x14ac:dyDescent="0.25">
      <c r="A58" s="18" t="s">
        <v>82</v>
      </c>
      <c r="B58" s="19" t="s">
        <v>83</v>
      </c>
      <c r="C58" s="23">
        <v>0.08</v>
      </c>
      <c r="D58" s="20">
        <f t="shared" si="0"/>
        <v>125.932074</v>
      </c>
    </row>
    <row r="59" spans="1:4" ht="16.5" thickBot="1" x14ac:dyDescent="0.25">
      <c r="A59" s="195" t="s">
        <v>84</v>
      </c>
      <c r="B59" s="196"/>
      <c r="C59" s="24">
        <f>SUM(C51:C58)</f>
        <v>0.36800000000000005</v>
      </c>
      <c r="D59" s="21">
        <f>SUM(D51:D58)</f>
        <v>579.2875403999999</v>
      </c>
    </row>
    <row r="62" spans="1:4" ht="15.75" x14ac:dyDescent="0.2">
      <c r="A62" s="194" t="s">
        <v>85</v>
      </c>
      <c r="B62" s="194"/>
      <c r="C62" s="194"/>
    </row>
    <row r="63" spans="1:4" ht="15.75" thickBot="1" x14ac:dyDescent="0.25"/>
    <row r="64" spans="1:4" ht="16.5" thickBot="1" x14ac:dyDescent="0.25">
      <c r="A64" s="16" t="s">
        <v>86</v>
      </c>
      <c r="B64" s="17" t="s">
        <v>87</v>
      </c>
      <c r="C64" s="17" t="s">
        <v>55</v>
      </c>
    </row>
    <row r="65" spans="1:4" ht="15.75" thickBot="1" x14ac:dyDescent="0.25">
      <c r="A65" s="18" t="s">
        <v>32</v>
      </c>
      <c r="B65" s="19" t="s">
        <v>88</v>
      </c>
      <c r="C65" s="20">
        <f>('CÁLCULO TRANSPORTE-ALIMENTAÇÃO'!B12*'Custo Servente SEG-DOM - ITEM 1'!D65)-(C28*6%)</f>
        <v>200.995</v>
      </c>
      <c r="D65" s="106">
        <f>5.5*2</f>
        <v>11</v>
      </c>
    </row>
    <row r="66" spans="1:4" ht="15.75" thickBot="1" x14ac:dyDescent="0.25">
      <c r="A66" s="18" t="s">
        <v>34</v>
      </c>
      <c r="B66" s="19" t="s">
        <v>89</v>
      </c>
      <c r="C66" s="20">
        <f>D66*'CÁLCULO TRANSPORTE-ALIMENTAÇÃO'!B12</f>
        <v>988</v>
      </c>
      <c r="D66" s="106">
        <v>38</v>
      </c>
    </row>
    <row r="67" spans="1:4" ht="15.75" thickBot="1" x14ac:dyDescent="0.25">
      <c r="A67" s="18" t="s">
        <v>37</v>
      </c>
      <c r="B67" s="19" t="s">
        <v>90</v>
      </c>
      <c r="C67" s="20">
        <v>169.67</v>
      </c>
    </row>
    <row r="68" spans="1:4" ht="15.75" thickBot="1" x14ac:dyDescent="0.25">
      <c r="A68" s="18" t="s">
        <v>40</v>
      </c>
      <c r="B68" s="19" t="s">
        <v>91</v>
      </c>
      <c r="C68" s="20">
        <v>11.27</v>
      </c>
    </row>
    <row r="69" spans="1:4" ht="15.75" thickBot="1" x14ac:dyDescent="0.25">
      <c r="A69" s="18" t="s">
        <v>42</v>
      </c>
      <c r="B69" s="19" t="s">
        <v>92</v>
      </c>
      <c r="C69" s="20">
        <v>2.5</v>
      </c>
    </row>
    <row r="70" spans="1:4" ht="16.5" thickBot="1" x14ac:dyDescent="0.25">
      <c r="A70" s="195" t="s">
        <v>63</v>
      </c>
      <c r="B70" s="196"/>
      <c r="C70" s="21">
        <f>SUM(C65:C69)</f>
        <v>1372.4349999999999</v>
      </c>
    </row>
    <row r="73" spans="1:4" ht="15.75" x14ac:dyDescent="0.2">
      <c r="A73" s="194" t="s">
        <v>93</v>
      </c>
      <c r="B73" s="194"/>
      <c r="C73" s="194"/>
    </row>
    <row r="74" spans="1:4" ht="15.75" thickBot="1" x14ac:dyDescent="0.25"/>
    <row r="75" spans="1:4" ht="16.5" thickBot="1" x14ac:dyDescent="0.25">
      <c r="A75" s="16">
        <v>2</v>
      </c>
      <c r="B75" s="17" t="s">
        <v>94</v>
      </c>
      <c r="C75" s="17" t="s">
        <v>55</v>
      </c>
    </row>
    <row r="76" spans="1:4" ht="15.75" thickBot="1" x14ac:dyDescent="0.25">
      <c r="A76" s="18" t="s">
        <v>66</v>
      </c>
      <c r="B76" s="19" t="s">
        <v>95</v>
      </c>
      <c r="C76" s="20">
        <f>C45</f>
        <v>157.400925</v>
      </c>
    </row>
    <row r="77" spans="1:4" ht="15.75" thickBot="1" x14ac:dyDescent="0.25">
      <c r="A77" s="18" t="s">
        <v>71</v>
      </c>
      <c r="B77" s="19" t="s">
        <v>72</v>
      </c>
      <c r="C77" s="20">
        <f>D59</f>
        <v>579.2875403999999</v>
      </c>
    </row>
    <row r="78" spans="1:4" ht="15.75" thickBot="1" x14ac:dyDescent="0.25">
      <c r="A78" s="18" t="s">
        <v>86</v>
      </c>
      <c r="B78" s="19" t="s">
        <v>87</v>
      </c>
      <c r="C78" s="20">
        <f>C70</f>
        <v>1372.4349999999999</v>
      </c>
    </row>
    <row r="79" spans="1:4" ht="16.5" thickBot="1" x14ac:dyDescent="0.25">
      <c r="A79" s="195" t="s">
        <v>63</v>
      </c>
      <c r="B79" s="196"/>
      <c r="C79" s="21">
        <f>SUM(C76:C78)</f>
        <v>2109.1234654</v>
      </c>
    </row>
    <row r="80" spans="1:4" x14ac:dyDescent="0.2">
      <c r="A80" s="25"/>
    </row>
    <row r="82" spans="1:3" ht="15.75" x14ac:dyDescent="0.2">
      <c r="A82" s="198" t="s">
        <v>96</v>
      </c>
      <c r="B82" s="198"/>
      <c r="C82" s="198"/>
    </row>
    <row r="83" spans="1:3" ht="15.75" thickBot="1" x14ac:dyDescent="0.25"/>
    <row r="84" spans="1:3" ht="16.5" thickBot="1" x14ac:dyDescent="0.25">
      <c r="A84" s="26">
        <v>3</v>
      </c>
      <c r="B84" s="27" t="s">
        <v>97</v>
      </c>
      <c r="C84" s="27" t="s">
        <v>55</v>
      </c>
    </row>
    <row r="85" spans="1:3" ht="15.75" thickBot="1" x14ac:dyDescent="0.25">
      <c r="A85" s="18" t="s">
        <v>32</v>
      </c>
      <c r="B85" s="28" t="s">
        <v>98</v>
      </c>
      <c r="C85" s="20">
        <f>(C35+C45+D59+C70)*0.26%</f>
        <v>9.1672710100399986</v>
      </c>
    </row>
    <row r="86" spans="1:3" ht="15.75" thickBot="1" x14ac:dyDescent="0.25">
      <c r="A86" s="18" t="s">
        <v>34</v>
      </c>
      <c r="B86" s="28" t="s">
        <v>99</v>
      </c>
      <c r="C86" s="20">
        <f>(C35+C45)*0.02%</f>
        <v>0.31483018499999998</v>
      </c>
    </row>
    <row r="87" spans="1:3" ht="15.75" thickBot="1" x14ac:dyDescent="0.25">
      <c r="A87" s="18" t="s">
        <v>37</v>
      </c>
      <c r="B87" s="28" t="s">
        <v>100</v>
      </c>
      <c r="C87" s="20">
        <f>(C35+C45)*0.01%</f>
        <v>0.15741509249999999</v>
      </c>
    </row>
    <row r="88" spans="1:3" ht="15.75" thickBot="1" x14ac:dyDescent="0.25">
      <c r="A88" s="18" t="s">
        <v>40</v>
      </c>
      <c r="B88" s="28" t="s">
        <v>101</v>
      </c>
      <c r="C88" s="20">
        <f>(C35+C79)*1.03%</f>
        <v>36.316496693620003</v>
      </c>
    </row>
    <row r="89" spans="1:3" ht="30.75" thickBot="1" x14ac:dyDescent="0.25">
      <c r="A89" s="18" t="s">
        <v>42</v>
      </c>
      <c r="B89" s="28" t="s">
        <v>102</v>
      </c>
      <c r="C89" s="20">
        <f>(C35+C45)*0.38%</f>
        <v>5.9817735149999995</v>
      </c>
    </row>
    <row r="90" spans="1:3" ht="30.75" thickBot="1" x14ac:dyDescent="0.25">
      <c r="A90" s="18" t="s">
        <v>79</v>
      </c>
      <c r="B90" s="28" t="s">
        <v>103</v>
      </c>
      <c r="C90" s="20">
        <f>(C35+C45)*0.05%</f>
        <v>0.78707546249999993</v>
      </c>
    </row>
    <row r="91" spans="1:3" ht="16.5" thickBot="1" x14ac:dyDescent="0.25">
      <c r="A91" s="203" t="s">
        <v>63</v>
      </c>
      <c r="B91" s="204"/>
      <c r="C91" s="29">
        <f>SUM(C85:C90)</f>
        <v>52.72486195866</v>
      </c>
    </row>
    <row r="94" spans="1:3" ht="15.75" x14ac:dyDescent="0.2">
      <c r="A94" s="198" t="s">
        <v>104</v>
      </c>
      <c r="B94" s="198"/>
      <c r="C94" s="198"/>
    </row>
    <row r="96" spans="1:3" ht="15.75" x14ac:dyDescent="0.2">
      <c r="A96" s="194" t="s">
        <v>105</v>
      </c>
      <c r="B96" s="194"/>
      <c r="C96" s="194"/>
    </row>
    <row r="97" spans="1:3" ht="16.5" thickBot="1" x14ac:dyDescent="0.25">
      <c r="A97" s="22"/>
    </row>
    <row r="98" spans="1:3" ht="16.5" thickBot="1" x14ac:dyDescent="0.25">
      <c r="A98" s="16" t="s">
        <v>106</v>
      </c>
      <c r="B98" s="17" t="s">
        <v>107</v>
      </c>
      <c r="C98" s="17" t="s">
        <v>55</v>
      </c>
    </row>
    <row r="99" spans="1:3" ht="15.75" thickBot="1" x14ac:dyDescent="0.25">
      <c r="A99" s="18" t="s">
        <v>32</v>
      </c>
      <c r="B99" s="19" t="s">
        <v>108</v>
      </c>
      <c r="C99" s="20">
        <f>(C35+C79+C91)*8.33%</f>
        <v>298.09724066897638</v>
      </c>
    </row>
    <row r="100" spans="1:3" ht="15.75" thickBot="1" x14ac:dyDescent="0.25">
      <c r="A100" s="18" t="s">
        <v>34</v>
      </c>
      <c r="B100" s="19" t="s">
        <v>109</v>
      </c>
      <c r="C100" s="20">
        <f>(C35+C79+C91)*2.22%</f>
        <v>79.444882867362253</v>
      </c>
    </row>
    <row r="101" spans="1:3" ht="15.75" thickBot="1" x14ac:dyDescent="0.25">
      <c r="A101" s="18" t="s">
        <v>37</v>
      </c>
      <c r="B101" s="19" t="s">
        <v>110</v>
      </c>
      <c r="C101" s="20">
        <f>(C35+C79+C91)*0.04%</f>
        <v>1.4314393309434641</v>
      </c>
    </row>
    <row r="102" spans="1:3" ht="15.75" thickBot="1" x14ac:dyDescent="0.25">
      <c r="A102" s="18" t="s">
        <v>40</v>
      </c>
      <c r="B102" s="19" t="s">
        <v>111</v>
      </c>
      <c r="C102" s="20">
        <f>(C35+C79+C91)*0.02%</f>
        <v>0.71571966547173205</v>
      </c>
    </row>
    <row r="103" spans="1:3" ht="15.75" thickBot="1" x14ac:dyDescent="0.25">
      <c r="A103" s="18" t="s">
        <v>42</v>
      </c>
      <c r="B103" s="19" t="s">
        <v>112</v>
      </c>
      <c r="C103" s="20">
        <f>(C35+C79+C91)*0.14%</f>
        <v>5.0100376583021244</v>
      </c>
    </row>
    <row r="104" spans="1:3" ht="15.75" thickBot="1" x14ac:dyDescent="0.25">
      <c r="A104" s="18" t="s">
        <v>79</v>
      </c>
      <c r="B104" s="19" t="s">
        <v>62</v>
      </c>
      <c r="C104" s="20"/>
    </row>
    <row r="105" spans="1:3" ht="16.5" thickBot="1" x14ac:dyDescent="0.25">
      <c r="A105" s="195" t="s">
        <v>84</v>
      </c>
      <c r="B105" s="196"/>
      <c r="C105" s="21">
        <f>SUM(C99:C104)</f>
        <v>384.69932019105596</v>
      </c>
    </row>
    <row r="108" spans="1:3" ht="15.75" x14ac:dyDescent="0.2">
      <c r="A108" s="194" t="s">
        <v>113</v>
      </c>
      <c r="B108" s="194"/>
      <c r="C108" s="194"/>
    </row>
    <row r="109" spans="1:3" ht="16.5" thickBot="1" x14ac:dyDescent="0.25">
      <c r="A109" s="22"/>
    </row>
    <row r="110" spans="1:3" ht="16.5" thickBot="1" x14ac:dyDescent="0.25">
      <c r="A110" s="16" t="s">
        <v>114</v>
      </c>
      <c r="B110" s="17" t="s">
        <v>115</v>
      </c>
      <c r="C110" s="17" t="s">
        <v>55</v>
      </c>
    </row>
    <row r="111" spans="1:3" ht="15.75" thickBot="1" x14ac:dyDescent="0.25">
      <c r="A111" s="18" t="s">
        <v>32</v>
      </c>
      <c r="B111" s="19" t="s">
        <v>116</v>
      </c>
      <c r="C111" s="20"/>
    </row>
    <row r="112" spans="1:3" ht="16.5" thickBot="1" x14ac:dyDescent="0.25">
      <c r="A112" s="195" t="s">
        <v>63</v>
      </c>
      <c r="B112" s="196"/>
      <c r="C112" s="21"/>
    </row>
    <row r="115" spans="1:3" ht="15.75" x14ac:dyDescent="0.2">
      <c r="A115" s="194" t="s">
        <v>117</v>
      </c>
      <c r="B115" s="194"/>
      <c r="C115" s="194"/>
    </row>
    <row r="116" spans="1:3" ht="16.5" thickBot="1" x14ac:dyDescent="0.25">
      <c r="A116" s="22"/>
    </row>
    <row r="117" spans="1:3" ht="16.5" thickBot="1" x14ac:dyDescent="0.25">
      <c r="A117" s="16">
        <v>4</v>
      </c>
      <c r="B117" s="17" t="s">
        <v>118</v>
      </c>
      <c r="C117" s="17" t="s">
        <v>55</v>
      </c>
    </row>
    <row r="118" spans="1:3" ht="15.75" thickBot="1" x14ac:dyDescent="0.25">
      <c r="A118" s="18" t="s">
        <v>106</v>
      </c>
      <c r="B118" s="19" t="s">
        <v>107</v>
      </c>
      <c r="C118" s="20">
        <f>C105</f>
        <v>384.69932019105596</v>
      </c>
    </row>
    <row r="119" spans="1:3" ht="15.75" thickBot="1" x14ac:dyDescent="0.25">
      <c r="A119" s="18" t="s">
        <v>114</v>
      </c>
      <c r="B119" s="19" t="s">
        <v>115</v>
      </c>
      <c r="C119" s="20"/>
    </row>
    <row r="120" spans="1:3" ht="16.5" thickBot="1" x14ac:dyDescent="0.25">
      <c r="A120" s="195" t="s">
        <v>63</v>
      </c>
      <c r="B120" s="196"/>
      <c r="C120" s="21">
        <f>SUM(C118:C119)</f>
        <v>384.69932019105596</v>
      </c>
    </row>
    <row r="123" spans="1:3" ht="15.75" x14ac:dyDescent="0.2">
      <c r="A123" s="198" t="s">
        <v>119</v>
      </c>
      <c r="B123" s="198"/>
      <c r="C123" s="198"/>
    </row>
    <row r="124" spans="1:3" ht="15.75" thickBot="1" x14ac:dyDescent="0.25"/>
    <row r="125" spans="1:3" ht="16.5" thickBot="1" x14ac:dyDescent="0.25">
      <c r="A125" s="46">
        <v>5</v>
      </c>
      <c r="B125" s="47" t="s">
        <v>120</v>
      </c>
      <c r="C125" s="48" t="s">
        <v>55</v>
      </c>
    </row>
    <row r="126" spans="1:3" ht="15.75" thickBot="1" x14ac:dyDescent="0.25">
      <c r="A126" s="18" t="s">
        <v>32</v>
      </c>
      <c r="B126" s="19" t="s">
        <v>121</v>
      </c>
      <c r="C126" s="20">
        <f>Uniformes!E22</f>
        <v>19.701833333333337</v>
      </c>
    </row>
    <row r="127" spans="1:3" ht="15.75" thickBot="1" x14ac:dyDescent="0.25">
      <c r="A127" s="18" t="s">
        <v>34</v>
      </c>
      <c r="B127" s="19" t="s">
        <v>122</v>
      </c>
      <c r="C127" s="20">
        <f>'Materiais de Consumo'!G298</f>
        <v>402.91168316831687</v>
      </c>
    </row>
    <row r="128" spans="1:3" ht="15.75" thickBot="1" x14ac:dyDescent="0.25">
      <c r="A128" s="18" t="s">
        <v>37</v>
      </c>
      <c r="B128" s="19" t="s">
        <v>123</v>
      </c>
      <c r="C128" s="20">
        <f>Equipamentos!F15</f>
        <v>8.8290334158415842</v>
      </c>
    </row>
    <row r="129" spans="1:4" ht="15.75" thickBot="1" x14ac:dyDescent="0.25">
      <c r="A129" s="18" t="s">
        <v>40</v>
      </c>
      <c r="B129" s="19" t="s">
        <v>62</v>
      </c>
      <c r="C129" s="20"/>
    </row>
    <row r="130" spans="1:4" ht="16.5" thickBot="1" x14ac:dyDescent="0.25">
      <c r="A130" s="201" t="s">
        <v>84</v>
      </c>
      <c r="B130" s="202"/>
      <c r="C130" s="146">
        <f>SUM(C126:C129)</f>
        <v>431.44254991749182</v>
      </c>
    </row>
    <row r="133" spans="1:4" ht="15.75" x14ac:dyDescent="0.2">
      <c r="A133" s="198" t="s">
        <v>124</v>
      </c>
      <c r="B133" s="198"/>
      <c r="C133" s="198"/>
    </row>
    <row r="134" spans="1:4" ht="15.75" thickBot="1" x14ac:dyDescent="0.25"/>
    <row r="135" spans="1:4" ht="16.5" thickBot="1" x14ac:dyDescent="0.25">
      <c r="A135" s="16">
        <v>6</v>
      </c>
      <c r="B135" s="30" t="s">
        <v>125</v>
      </c>
      <c r="C135" s="17" t="s">
        <v>126</v>
      </c>
      <c r="D135" s="17" t="s">
        <v>55</v>
      </c>
    </row>
    <row r="136" spans="1:4" ht="15.75" thickBot="1" x14ac:dyDescent="0.25">
      <c r="A136" s="18" t="s">
        <v>32</v>
      </c>
      <c r="B136" s="19" t="s">
        <v>127</v>
      </c>
      <c r="C136" s="23">
        <v>4.7300000000000002E-2</v>
      </c>
      <c r="D136" s="20">
        <f>(C35+C79+C91+C120+C130)*C136</f>
        <v>207.87121134019893</v>
      </c>
    </row>
    <row r="137" spans="1:4" ht="15.75" thickBot="1" x14ac:dyDescent="0.25">
      <c r="A137" s="18" t="s">
        <v>34</v>
      </c>
      <c r="B137" s="19" t="s">
        <v>128</v>
      </c>
      <c r="C137" s="23">
        <v>3.9E-2</v>
      </c>
      <c r="D137" s="20">
        <f>(C35+C79+C91+C120+C130+D136)*C137</f>
        <v>179.50184494348886</v>
      </c>
    </row>
    <row r="138" spans="1:4" ht="15.75" thickBot="1" x14ac:dyDescent="0.25">
      <c r="A138" s="18" t="s">
        <v>37</v>
      </c>
      <c r="B138" s="19" t="s">
        <v>129</v>
      </c>
      <c r="C138" s="23">
        <f>SUM(C139:C141)</f>
        <v>8.6499999999999994E-2</v>
      </c>
      <c r="D138" s="20">
        <f>(C35+C79+C91+C120+C130+D136+D137)/(1-C138)*C138</f>
        <v>452.8218899282457</v>
      </c>
    </row>
    <row r="139" spans="1:4" ht="15.75" thickBot="1" x14ac:dyDescent="0.25">
      <c r="A139" s="18"/>
      <c r="B139" s="19" t="s">
        <v>130</v>
      </c>
      <c r="C139" s="23">
        <v>3.6499999999999998E-2</v>
      </c>
      <c r="D139" s="20"/>
    </row>
    <row r="140" spans="1:4" ht="15.75" thickBot="1" x14ac:dyDescent="0.25">
      <c r="A140" s="18"/>
      <c r="B140" s="19" t="s">
        <v>131</v>
      </c>
      <c r="C140" s="23"/>
      <c r="D140" s="20"/>
    </row>
    <row r="141" spans="1:4" ht="15.75" thickBot="1" x14ac:dyDescent="0.25">
      <c r="A141" s="18"/>
      <c r="B141" s="19" t="s">
        <v>132</v>
      </c>
      <c r="C141" s="23">
        <v>0.05</v>
      </c>
      <c r="D141" s="20"/>
    </row>
    <row r="142" spans="1:4" ht="16.5" thickBot="1" x14ac:dyDescent="0.25">
      <c r="A142" s="195" t="s">
        <v>84</v>
      </c>
      <c r="B142" s="196"/>
      <c r="C142" s="24">
        <f>SUM(C136:C138)</f>
        <v>0.17280000000000001</v>
      </c>
      <c r="D142" s="21">
        <f>SUM(D136:D138)</f>
        <v>840.19494621193348</v>
      </c>
    </row>
    <row r="145" spans="1:3" ht="15.75" x14ac:dyDescent="0.2">
      <c r="A145" s="198" t="s">
        <v>133</v>
      </c>
      <c r="B145" s="198"/>
      <c r="C145" s="198"/>
    </row>
    <row r="146" spans="1:3" ht="15.75" thickBot="1" x14ac:dyDescent="0.25"/>
    <row r="147" spans="1:3" ht="32.25" thickBot="1" x14ac:dyDescent="0.25">
      <c r="A147" s="16"/>
      <c r="B147" s="17" t="s">
        <v>134</v>
      </c>
      <c r="C147" s="17" t="s">
        <v>55</v>
      </c>
    </row>
    <row r="148" spans="1:3" ht="16.5" thickBot="1" x14ac:dyDescent="0.25">
      <c r="A148" s="31" t="s">
        <v>32</v>
      </c>
      <c r="B148" s="19" t="s">
        <v>53</v>
      </c>
      <c r="C148" s="32">
        <f>C35</f>
        <v>1416.75</v>
      </c>
    </row>
    <row r="149" spans="1:3" ht="16.5" thickBot="1" x14ac:dyDescent="0.25">
      <c r="A149" s="31" t="s">
        <v>34</v>
      </c>
      <c r="B149" s="19" t="s">
        <v>64</v>
      </c>
      <c r="C149" s="32">
        <f>C79</f>
        <v>2109.1234654</v>
      </c>
    </row>
    <row r="150" spans="1:3" ht="16.5" thickBot="1" x14ac:dyDescent="0.25">
      <c r="A150" s="31" t="s">
        <v>37</v>
      </c>
      <c r="B150" s="19" t="s">
        <v>96</v>
      </c>
      <c r="C150" s="32">
        <f>C91</f>
        <v>52.72486195866</v>
      </c>
    </row>
    <row r="151" spans="1:3" ht="16.5" thickBot="1" x14ac:dyDescent="0.25">
      <c r="A151" s="31" t="s">
        <v>40</v>
      </c>
      <c r="B151" s="19" t="s">
        <v>104</v>
      </c>
      <c r="C151" s="32">
        <f>C120</f>
        <v>384.69932019105596</v>
      </c>
    </row>
    <row r="152" spans="1:3" ht="16.5" thickBot="1" x14ac:dyDescent="0.25">
      <c r="A152" s="31" t="s">
        <v>42</v>
      </c>
      <c r="B152" s="19" t="s">
        <v>119</v>
      </c>
      <c r="C152" s="32">
        <f>C130</f>
        <v>431.44254991749182</v>
      </c>
    </row>
    <row r="153" spans="1:3" ht="16.5" thickBot="1" x14ac:dyDescent="0.25">
      <c r="A153" s="195" t="s">
        <v>135</v>
      </c>
      <c r="B153" s="196"/>
      <c r="C153" s="33">
        <f>SUM(C148:C152)</f>
        <v>4394.7401974672075</v>
      </c>
    </row>
    <row r="154" spans="1:3" ht="16.5" thickBot="1" x14ac:dyDescent="0.25">
      <c r="A154" s="31" t="s">
        <v>79</v>
      </c>
      <c r="B154" s="19" t="s">
        <v>136</v>
      </c>
      <c r="C154" s="32">
        <f>D142</f>
        <v>840.19494621193348</v>
      </c>
    </row>
    <row r="155" spans="1:3" ht="16.5" thickBot="1" x14ac:dyDescent="0.25">
      <c r="A155" s="195" t="s">
        <v>137</v>
      </c>
      <c r="B155" s="196"/>
      <c r="C155" s="127">
        <f>SUM(C153:C154)</f>
        <v>5234.9351436791412</v>
      </c>
    </row>
  </sheetData>
  <mergeCells count="32">
    <mergeCell ref="A1:D1"/>
    <mergeCell ref="A130:B130"/>
    <mergeCell ref="A123:C123"/>
    <mergeCell ref="A142:B142"/>
    <mergeCell ref="A133:C133"/>
    <mergeCell ref="A70:B70"/>
    <mergeCell ref="A62:C62"/>
    <mergeCell ref="A79:B79"/>
    <mergeCell ref="A73:C73"/>
    <mergeCell ref="A91:B91"/>
    <mergeCell ref="A82:C82"/>
    <mergeCell ref="A35:B35"/>
    <mergeCell ref="A25:C25"/>
    <mergeCell ref="A45:B45"/>
    <mergeCell ref="A38:C38"/>
    <mergeCell ref="A2:D2"/>
    <mergeCell ref="A155:B155"/>
    <mergeCell ref="A145:C145"/>
    <mergeCell ref="A94:C94"/>
    <mergeCell ref="A105:B105"/>
    <mergeCell ref="A96:C96"/>
    <mergeCell ref="A112:B112"/>
    <mergeCell ref="A108:C108"/>
    <mergeCell ref="A120:B120"/>
    <mergeCell ref="A115:C115"/>
    <mergeCell ref="A40:C40"/>
    <mergeCell ref="A59:B59"/>
    <mergeCell ref="A48:D48"/>
    <mergeCell ref="A153:B153"/>
    <mergeCell ref="A7:C7"/>
    <mergeCell ref="A18:C18"/>
    <mergeCell ref="A16:C16"/>
  </mergeCells>
  <printOptions horizontalCentered="1"/>
  <pageMargins left="0.51181102362204722" right="0.51181102362204722" top="0.59055118110236227" bottom="0.39370078740157483" header="0.31496062992125984" footer="0.31496062992125984"/>
  <pageSetup paperSize="9" scale="74" fitToHeight="0" orientation="portrait" horizontalDpi="300" verticalDpi="300" r:id="rId1"/>
  <headerFooter>
    <oddHeader>&amp;C&amp;"Arial,Negrito"&amp;14&amp;UPLANILHA DE CUSTOS - SERVENTE DE SEGUNDA-FEIRA À DOMINGO - ITEM 1</oddHeader>
  </headerFooter>
  <rowBreaks count="2" manualBreakCount="2">
    <brk id="47" max="16383" man="1"/>
    <brk id="10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4566-71A7-4B12-9CDB-8739419A2CDD}">
  <sheetPr>
    <pageSetUpPr fitToPage="1"/>
  </sheetPr>
  <dimension ref="A1:I27"/>
  <sheetViews>
    <sheetView zoomScaleNormal="100" workbookViewId="0">
      <pane ySplit="2" topLeftCell="A3" activePane="bottomLeft" state="frozen"/>
      <selection pane="bottomLeft" activeCell="I19" sqref="I19:I22"/>
    </sheetView>
  </sheetViews>
  <sheetFormatPr defaultRowHeight="15" x14ac:dyDescent="0.25"/>
  <cols>
    <col min="1" max="1" width="6.42578125" customWidth="1"/>
    <col min="2" max="2" width="21.42578125" customWidth="1"/>
    <col min="3" max="3" width="17.42578125" customWidth="1"/>
    <col min="4" max="6" width="12.7109375" customWidth="1"/>
    <col min="7" max="7" width="15.7109375" customWidth="1"/>
    <col min="8" max="8" width="17.28515625" customWidth="1"/>
    <col min="9" max="9" width="22.42578125" customWidth="1"/>
  </cols>
  <sheetData>
    <row r="1" spans="1:9" ht="70.5" customHeight="1" x14ac:dyDescent="0.25">
      <c r="A1" s="284" t="s">
        <v>574</v>
      </c>
      <c r="B1" s="286" t="s">
        <v>575</v>
      </c>
      <c r="C1" s="178" t="s">
        <v>642</v>
      </c>
      <c r="D1" s="289" t="s">
        <v>577</v>
      </c>
      <c r="E1" s="289"/>
      <c r="F1" s="289"/>
      <c r="G1" s="65" t="s">
        <v>568</v>
      </c>
      <c r="H1" s="386" t="s">
        <v>569</v>
      </c>
      <c r="I1" s="95" t="s">
        <v>578</v>
      </c>
    </row>
    <row r="2" spans="1:9" ht="30.75" customHeight="1" thickBot="1" x14ac:dyDescent="0.3">
      <c r="A2" s="285"/>
      <c r="B2" s="287"/>
      <c r="C2" s="67" t="s">
        <v>565</v>
      </c>
      <c r="D2" s="68" t="s">
        <v>583</v>
      </c>
      <c r="E2" s="68" t="s">
        <v>584</v>
      </c>
      <c r="F2" s="68" t="s">
        <v>585</v>
      </c>
      <c r="G2" s="69" t="s">
        <v>586</v>
      </c>
      <c r="H2" s="387"/>
      <c r="I2" s="70" t="s">
        <v>587</v>
      </c>
    </row>
    <row r="3" spans="1:9" ht="30.75" customHeight="1" x14ac:dyDescent="0.25">
      <c r="A3" s="388">
        <v>47</v>
      </c>
      <c r="B3" s="171" t="s">
        <v>737</v>
      </c>
      <c r="C3" s="172">
        <f>89.24+13.82</f>
        <v>103.06</v>
      </c>
      <c r="D3" s="172">
        <v>2607.13</v>
      </c>
      <c r="E3" s="172">
        <v>0</v>
      </c>
      <c r="F3" s="172">
        <v>2607.13</v>
      </c>
      <c r="G3" s="173">
        <v>1003.57</v>
      </c>
      <c r="H3" s="139">
        <f>3125.45+117.37</f>
        <v>3242.8199999999997</v>
      </c>
      <c r="I3" s="394">
        <f>SUM(C6:H6)</f>
        <v>11</v>
      </c>
    </row>
    <row r="4" spans="1:9" ht="30.75" customHeight="1" x14ac:dyDescent="0.25">
      <c r="A4" s="307"/>
      <c r="B4" s="76" t="s">
        <v>589</v>
      </c>
      <c r="C4" s="298">
        <f>C3/'PRODUTIVIDADE IN 05-2017'!$K$12</f>
        <v>0.34353333333333336</v>
      </c>
      <c r="D4" s="77">
        <f>D3/'PRODUTIVIDADE IN 05-2017'!$A$16</f>
        <v>0.96560370370370374</v>
      </c>
      <c r="E4" s="77">
        <f>E3/'PRODUTIVIDADE IN 05-2017'!$C$16</f>
        <v>0</v>
      </c>
      <c r="F4" s="77">
        <f>F3/'PRODUTIVIDADE IN 05-2017'!$E$16</f>
        <v>2.6071300000000002E-2</v>
      </c>
      <c r="G4" s="330">
        <f>G3/'PRODUTIVIDADE IN 05-2017'!$G$16</f>
        <v>2.6409736842105263</v>
      </c>
      <c r="H4" s="390">
        <f>H3/'PRODUTIVIDADE IN 05-2017'!$I$16</f>
        <v>7.2062666666666662</v>
      </c>
      <c r="I4" s="395"/>
    </row>
    <row r="5" spans="1:9" ht="30.75" customHeight="1" x14ac:dyDescent="0.25">
      <c r="A5" s="307"/>
      <c r="B5" s="76" t="s">
        <v>590</v>
      </c>
      <c r="C5" s="299"/>
      <c r="D5" s="300">
        <f>SUM(D4:F4)</f>
        <v>0.99167500370370376</v>
      </c>
      <c r="E5" s="301"/>
      <c r="F5" s="302"/>
      <c r="G5" s="389"/>
      <c r="H5" s="391"/>
      <c r="I5" s="395"/>
    </row>
    <row r="6" spans="1:9" ht="30.75" customHeight="1" x14ac:dyDescent="0.25">
      <c r="A6" s="307"/>
      <c r="B6" s="174" t="s">
        <v>591</v>
      </c>
      <c r="C6" s="175">
        <v>0</v>
      </c>
      <c r="D6" s="392">
        <v>1</v>
      </c>
      <c r="E6" s="393"/>
      <c r="F6" s="393"/>
      <c r="G6" s="176">
        <v>3</v>
      </c>
      <c r="H6" s="176">
        <v>7</v>
      </c>
      <c r="I6" s="395"/>
    </row>
    <row r="7" spans="1:9" ht="30.75" customHeight="1" x14ac:dyDescent="0.25">
      <c r="A7" s="341">
        <v>48</v>
      </c>
      <c r="B7" s="147" t="s">
        <v>643</v>
      </c>
      <c r="C7" s="148">
        <v>51.7</v>
      </c>
      <c r="D7" s="148">
        <v>230.17</v>
      </c>
      <c r="E7" s="148">
        <v>0</v>
      </c>
      <c r="F7" s="148">
        <v>0</v>
      </c>
      <c r="G7" s="148">
        <v>38.4</v>
      </c>
      <c r="H7" s="148">
        <v>648.14</v>
      </c>
      <c r="I7" s="396">
        <f>SUM(C10:H10)</f>
        <v>1</v>
      </c>
    </row>
    <row r="8" spans="1:9" ht="30.75" customHeight="1" x14ac:dyDescent="0.25">
      <c r="A8" s="341"/>
      <c r="B8" s="147" t="s">
        <v>589</v>
      </c>
      <c r="C8" s="397">
        <f>C7/'PRODUTIVIDADE IN 05-2017'!$K$12</f>
        <v>0.17233333333333334</v>
      </c>
      <c r="D8" s="148">
        <f>D7/'PRODUTIVIDADE IN 05-2017'!$A$16</f>
        <v>8.5248148148148142E-2</v>
      </c>
      <c r="E8" s="148">
        <f>E7/'PRODUTIVIDADE IN 05-2017'!$C$16</f>
        <v>0</v>
      </c>
      <c r="F8" s="148">
        <f>F7/'PRODUTIVIDADE IN 05-2017'!$E$16</f>
        <v>0</v>
      </c>
      <c r="G8" s="397">
        <f>G7/'PRODUTIVIDADE IN 05-2017'!$G$16</f>
        <v>0.10105263157894737</v>
      </c>
      <c r="H8" s="397">
        <f>H7/'PRODUTIVIDADE IN 05-2017'!$I$16</f>
        <v>1.4403111111111111</v>
      </c>
      <c r="I8" s="276"/>
    </row>
    <row r="9" spans="1:9" ht="30.75" customHeight="1" x14ac:dyDescent="0.25">
      <c r="A9" s="341"/>
      <c r="B9" s="147" t="s">
        <v>590</v>
      </c>
      <c r="C9" s="397"/>
      <c r="D9" s="397">
        <f>SUM(D8:F8)</f>
        <v>8.5248148148148142E-2</v>
      </c>
      <c r="E9" s="397"/>
      <c r="F9" s="397"/>
      <c r="G9" s="397"/>
      <c r="H9" s="397"/>
      <c r="I9" s="276"/>
    </row>
    <row r="10" spans="1:9" ht="30.75" customHeight="1" x14ac:dyDescent="0.25">
      <c r="A10" s="341"/>
      <c r="B10" s="147" t="s">
        <v>591</v>
      </c>
      <c r="C10" s="181">
        <v>0</v>
      </c>
      <c r="D10" s="398">
        <v>0</v>
      </c>
      <c r="E10" s="398"/>
      <c r="F10" s="398"/>
      <c r="G10" s="181">
        <v>0</v>
      </c>
      <c r="H10" s="181">
        <v>1</v>
      </c>
      <c r="I10" s="399"/>
    </row>
    <row r="11" spans="1:9" ht="30.75" customHeight="1" x14ac:dyDescent="0.25">
      <c r="A11" s="325">
        <v>49</v>
      </c>
      <c r="B11" s="96" t="s">
        <v>644</v>
      </c>
      <c r="C11" s="139">
        <v>69.47</v>
      </c>
      <c r="D11" s="162">
        <v>177</v>
      </c>
      <c r="E11" s="139">
        <v>0</v>
      </c>
      <c r="F11" s="139">
        <v>0</v>
      </c>
      <c r="G11" s="139">
        <v>79.45</v>
      </c>
      <c r="H11" s="162">
        <v>931.81</v>
      </c>
      <c r="I11" s="383">
        <f>SUM(C14:H14)</f>
        <v>2</v>
      </c>
    </row>
    <row r="12" spans="1:9" ht="30.75" customHeight="1" x14ac:dyDescent="0.25">
      <c r="A12" s="325"/>
      <c r="B12" s="96" t="s">
        <v>589</v>
      </c>
      <c r="C12" s="298">
        <f>C11/'PRODUTIVIDADE IN 05-2017'!$K$12</f>
        <v>0.23156666666666667</v>
      </c>
      <c r="D12" s="77">
        <f>D11/'PRODUTIVIDADE IN 05-2017'!$A$16</f>
        <v>6.5555555555555561E-2</v>
      </c>
      <c r="E12" s="77">
        <f>E11/'PRODUTIVIDADE IN 05-2017'!$C$16</f>
        <v>0</v>
      </c>
      <c r="F12" s="77">
        <f>F11/'PRODUTIVIDADE IN 05-2017'!$E$16</f>
        <v>0</v>
      </c>
      <c r="G12" s="330">
        <f>G11/'PRODUTIVIDADE IN 05-2017'!$G$16</f>
        <v>0.20907894736842106</v>
      </c>
      <c r="H12" s="390">
        <f>H11/'PRODUTIVIDADE IN 05-2017'!$I$16</f>
        <v>2.0706888888888888</v>
      </c>
      <c r="I12" s="277"/>
    </row>
    <row r="13" spans="1:9" ht="30.75" customHeight="1" x14ac:dyDescent="0.25">
      <c r="A13" s="325"/>
      <c r="B13" s="96" t="s">
        <v>590</v>
      </c>
      <c r="C13" s="299"/>
      <c r="D13" s="385">
        <f>SUM(D12:F12)</f>
        <v>6.5555555555555561E-2</v>
      </c>
      <c r="E13" s="385"/>
      <c r="F13" s="385"/>
      <c r="G13" s="389"/>
      <c r="H13" s="391"/>
      <c r="I13" s="277"/>
    </row>
    <row r="14" spans="1:9" ht="30.75" customHeight="1" x14ac:dyDescent="0.25">
      <c r="A14" s="325"/>
      <c r="B14" s="96" t="s">
        <v>591</v>
      </c>
      <c r="C14" s="179">
        <v>0</v>
      </c>
      <c r="D14" s="333">
        <v>0</v>
      </c>
      <c r="E14" s="333"/>
      <c r="F14" s="333"/>
      <c r="G14" s="179">
        <v>0</v>
      </c>
      <c r="H14" s="179">
        <v>2</v>
      </c>
      <c r="I14" s="384"/>
    </row>
    <row r="15" spans="1:9" ht="30.75" customHeight="1" x14ac:dyDescent="0.25">
      <c r="A15" s="341">
        <v>50</v>
      </c>
      <c r="B15" s="147" t="s">
        <v>645</v>
      </c>
      <c r="C15" s="148">
        <v>38</v>
      </c>
      <c r="D15" s="148">
        <v>63.23</v>
      </c>
      <c r="E15" s="148">
        <v>0</v>
      </c>
      <c r="F15" s="148">
        <v>0</v>
      </c>
      <c r="G15" s="148">
        <v>58.07</v>
      </c>
      <c r="H15" s="163">
        <v>640.58000000000004</v>
      </c>
      <c r="I15" s="396">
        <v>2</v>
      </c>
    </row>
    <row r="16" spans="1:9" ht="30.75" customHeight="1" x14ac:dyDescent="0.25">
      <c r="A16" s="341"/>
      <c r="B16" s="147" t="s">
        <v>589</v>
      </c>
      <c r="C16" s="397">
        <f>C15/'PRODUTIVIDADE IN 05-2017'!$K$12</f>
        <v>0.12666666666666668</v>
      </c>
      <c r="D16" s="148">
        <f>D15/'PRODUTIVIDADE IN 05-2017'!$A$16</f>
        <v>2.3418518518518519E-2</v>
      </c>
      <c r="E16" s="148">
        <f>E15/'PRODUTIVIDADE IN 05-2017'!$C$16</f>
        <v>0</v>
      </c>
      <c r="F16" s="148">
        <f>F15/'PRODUTIVIDADE IN 05-2017'!$E$16</f>
        <v>0</v>
      </c>
      <c r="G16" s="397">
        <f>G15/'PRODUTIVIDADE IN 05-2017'!$G$16</f>
        <v>0.15281578947368421</v>
      </c>
      <c r="H16" s="397">
        <f>H15/'PRODUTIVIDADE IN 05-2017'!$I$16</f>
        <v>1.4235111111111112</v>
      </c>
      <c r="I16" s="396"/>
    </row>
    <row r="17" spans="1:9" ht="30.75" customHeight="1" x14ac:dyDescent="0.25">
      <c r="A17" s="341"/>
      <c r="B17" s="147" t="s">
        <v>590</v>
      </c>
      <c r="C17" s="397"/>
      <c r="D17" s="397">
        <f>SUM(D16:F16)</f>
        <v>2.3418518518518519E-2</v>
      </c>
      <c r="E17" s="397"/>
      <c r="F17" s="397"/>
      <c r="G17" s="397"/>
      <c r="H17" s="397"/>
      <c r="I17" s="396"/>
    </row>
    <row r="18" spans="1:9" ht="30.75" customHeight="1" x14ac:dyDescent="0.25">
      <c r="A18" s="341"/>
      <c r="B18" s="147" t="s">
        <v>591</v>
      </c>
      <c r="C18" s="181">
        <v>0</v>
      </c>
      <c r="D18" s="398">
        <v>0</v>
      </c>
      <c r="E18" s="398"/>
      <c r="F18" s="398"/>
      <c r="G18" s="181">
        <v>0</v>
      </c>
      <c r="H18" s="181">
        <v>1</v>
      </c>
      <c r="I18" s="396"/>
    </row>
    <row r="19" spans="1:9" ht="30.75" customHeight="1" x14ac:dyDescent="0.25">
      <c r="A19" s="325">
        <v>51</v>
      </c>
      <c r="B19" s="96" t="s">
        <v>646</v>
      </c>
      <c r="C19" s="139">
        <v>273.42</v>
      </c>
      <c r="D19" s="139">
        <v>0</v>
      </c>
      <c r="E19" s="139">
        <v>0</v>
      </c>
      <c r="F19" s="139">
        <v>0</v>
      </c>
      <c r="G19" s="139">
        <v>0</v>
      </c>
      <c r="H19" s="162">
        <v>7033.62</v>
      </c>
      <c r="I19" s="383">
        <f>SUM(C22:H22)</f>
        <v>17</v>
      </c>
    </row>
    <row r="20" spans="1:9" ht="30.75" customHeight="1" x14ac:dyDescent="0.25">
      <c r="A20" s="325"/>
      <c r="B20" s="96" t="s">
        <v>589</v>
      </c>
      <c r="C20" s="298">
        <f>C19/'PRODUTIVIDADE IN 05-2017'!$K$12</f>
        <v>0.9114000000000001</v>
      </c>
      <c r="D20" s="77">
        <f>D19/'PRODUTIVIDADE IN 05-2017'!$A$16</f>
        <v>0</v>
      </c>
      <c r="E20" s="77">
        <f>E19/'PRODUTIVIDADE IN 05-2017'!$C$16</f>
        <v>0</v>
      </c>
      <c r="F20" s="77">
        <f>F19/'PRODUTIVIDADE IN 05-2017'!$E$16</f>
        <v>0</v>
      </c>
      <c r="G20" s="330">
        <f>G19/'PRODUTIVIDADE IN 05-2017'!$G$16</f>
        <v>0</v>
      </c>
      <c r="H20" s="390">
        <f>H19/'PRODUTIVIDADE IN 05-2017'!$I$16</f>
        <v>15.630266666666666</v>
      </c>
      <c r="I20" s="383"/>
    </row>
    <row r="21" spans="1:9" ht="30.75" customHeight="1" x14ac:dyDescent="0.25">
      <c r="A21" s="325"/>
      <c r="B21" s="96" t="s">
        <v>590</v>
      </c>
      <c r="C21" s="299"/>
      <c r="D21" s="385">
        <f>SUM(D20:F20)</f>
        <v>0</v>
      </c>
      <c r="E21" s="385"/>
      <c r="F21" s="385"/>
      <c r="G21" s="389"/>
      <c r="H21" s="391"/>
      <c r="I21" s="383"/>
    </row>
    <row r="22" spans="1:9" ht="30.75" customHeight="1" x14ac:dyDescent="0.25">
      <c r="A22" s="325"/>
      <c r="B22" s="96" t="s">
        <v>591</v>
      </c>
      <c r="C22" s="179">
        <v>1</v>
      </c>
      <c r="D22" s="333">
        <v>0</v>
      </c>
      <c r="E22" s="333"/>
      <c r="F22" s="333"/>
      <c r="G22" s="179">
        <v>0</v>
      </c>
      <c r="H22" s="179">
        <v>16</v>
      </c>
      <c r="I22" s="383"/>
    </row>
    <row r="23" spans="1:9" ht="30.75" customHeight="1" x14ac:dyDescent="0.25">
      <c r="A23" s="339" t="s">
        <v>647</v>
      </c>
      <c r="B23" s="339"/>
      <c r="C23" s="339"/>
      <c r="D23" s="339"/>
      <c r="E23" s="339"/>
      <c r="F23" s="339"/>
      <c r="G23" s="339"/>
      <c r="H23" s="339"/>
      <c r="I23" s="87">
        <f>SUM(I3:I14)</f>
        <v>14</v>
      </c>
    </row>
    <row r="24" spans="1:9" ht="30.75" customHeight="1" x14ac:dyDescent="0.25">
      <c r="A24" s="339" t="s">
        <v>648</v>
      </c>
      <c r="B24" s="339"/>
      <c r="C24" s="339"/>
      <c r="D24" s="339"/>
      <c r="E24" s="339"/>
      <c r="F24" s="339"/>
      <c r="G24" s="339"/>
      <c r="H24" s="339"/>
      <c r="I24" s="87">
        <f>SUM(I15:I22)</f>
        <v>19</v>
      </c>
    </row>
    <row r="25" spans="1:9" ht="30.75" customHeight="1" x14ac:dyDescent="0.25">
      <c r="A25" s="339" t="s">
        <v>649</v>
      </c>
      <c r="B25" s="339"/>
      <c r="C25" s="339"/>
      <c r="D25" s="339"/>
      <c r="E25" s="339"/>
      <c r="F25" s="339"/>
      <c r="G25" s="339"/>
      <c r="H25" s="339"/>
      <c r="I25" s="87">
        <f>SUM(I23:I24)</f>
        <v>33</v>
      </c>
    </row>
    <row r="26" spans="1:9" ht="18.75" customHeight="1" x14ac:dyDescent="0.25">
      <c r="A26" s="352" t="s">
        <v>625</v>
      </c>
      <c r="B26" s="352"/>
      <c r="C26" s="352"/>
      <c r="D26" s="352"/>
      <c r="E26" s="352"/>
      <c r="F26" s="352"/>
      <c r="G26" s="352"/>
      <c r="H26" s="352"/>
      <c r="I26" s="352"/>
    </row>
    <row r="27" spans="1:9" ht="102" customHeight="1" x14ac:dyDescent="0.25">
      <c r="A27" s="324" t="s">
        <v>738</v>
      </c>
      <c r="B27" s="400"/>
      <c r="C27" s="400"/>
      <c r="D27" s="400"/>
      <c r="E27" s="400"/>
      <c r="F27" s="400"/>
      <c r="G27" s="400"/>
      <c r="H27" s="400"/>
      <c r="I27" s="400"/>
    </row>
  </sheetData>
  <mergeCells count="44">
    <mergeCell ref="A23:H23"/>
    <mergeCell ref="A24:H24"/>
    <mergeCell ref="A25:H25"/>
    <mergeCell ref="A26:I26"/>
    <mergeCell ref="A27:I27"/>
    <mergeCell ref="A19:A22"/>
    <mergeCell ref="I19:I22"/>
    <mergeCell ref="C20:C21"/>
    <mergeCell ref="G20:G21"/>
    <mergeCell ref="H20:H21"/>
    <mergeCell ref="D21:F21"/>
    <mergeCell ref="D22:F22"/>
    <mergeCell ref="A15:A18"/>
    <mergeCell ref="I15:I18"/>
    <mergeCell ref="C16:C17"/>
    <mergeCell ref="G16:G17"/>
    <mergeCell ref="H16:H17"/>
    <mergeCell ref="D17:F17"/>
    <mergeCell ref="D18:F18"/>
    <mergeCell ref="I3:I6"/>
    <mergeCell ref="A11:A14"/>
    <mergeCell ref="I11:I14"/>
    <mergeCell ref="C12:C13"/>
    <mergeCell ref="G12:G13"/>
    <mergeCell ref="H12:H13"/>
    <mergeCell ref="D13:F13"/>
    <mergeCell ref="D14:F14"/>
    <mergeCell ref="A7:A10"/>
    <mergeCell ref="I7:I10"/>
    <mergeCell ref="C8:C9"/>
    <mergeCell ref="G8:G9"/>
    <mergeCell ref="H8:H9"/>
    <mergeCell ref="D9:F9"/>
    <mergeCell ref="D10:F10"/>
    <mergeCell ref="A1:A2"/>
    <mergeCell ref="B1:B2"/>
    <mergeCell ref="D1:F1"/>
    <mergeCell ref="H1:H2"/>
    <mergeCell ref="A3:A6"/>
    <mergeCell ref="C4:C5"/>
    <mergeCell ref="G4:G5"/>
    <mergeCell ref="H4:H5"/>
    <mergeCell ref="D5:F5"/>
    <mergeCell ref="D6:F6"/>
  </mergeCells>
  <printOptions horizontalCentered="1"/>
  <pageMargins left="0.51181102362204722" right="0.51181102362204722" top="0.78740157480314965" bottom="0.78740157480314965" header="0.31496062992125984" footer="0.31496062992125984"/>
  <pageSetup paperSize="9" scale="79" orientation="portrait" horizontalDpi="300" verticalDpi="300" r:id="rId1"/>
  <headerFooter>
    <oddHeader>&amp;C&amp;"Arial,Negrito"&amp;14&amp;UMEMORIA DE CÁLCULO DA QUANTIDADE DE POSTOS DE TRABALHO (SERVENTES) 
ITEM 3 - UNIDADES HOSPITALARES - SEGUNDA À SEXTA-FEIRA.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J9"/>
  <sheetViews>
    <sheetView topLeftCell="A3" workbookViewId="0">
      <selection activeCell="G6" sqref="G6:G7"/>
    </sheetView>
  </sheetViews>
  <sheetFormatPr defaultRowHeight="14.25" x14ac:dyDescent="0.25"/>
  <cols>
    <col min="1" max="1" width="6.28515625" style="1" bestFit="1" customWidth="1"/>
    <col min="2" max="2" width="34" style="1" customWidth="1"/>
    <col min="3" max="3" width="19.42578125" style="1" bestFit="1" customWidth="1"/>
    <col min="4" max="4" width="19.42578125" style="1" customWidth="1"/>
    <col min="5" max="6" width="21.85546875" style="1" customWidth="1"/>
    <col min="7" max="7" width="24.5703125" style="1" customWidth="1"/>
    <col min="8" max="8" width="9.140625" style="1" customWidth="1"/>
    <col min="9" max="16384" width="9.140625" style="1"/>
  </cols>
  <sheetData>
    <row r="2" spans="1:10" ht="24" customHeight="1" x14ac:dyDescent="0.25">
      <c r="A2" s="232" t="s">
        <v>463</v>
      </c>
      <c r="B2" s="232" t="s">
        <v>2</v>
      </c>
      <c r="C2" s="232" t="s">
        <v>650</v>
      </c>
      <c r="D2" s="232"/>
      <c r="E2" s="407" t="s">
        <v>651</v>
      </c>
      <c r="F2" s="408"/>
      <c r="G2" s="402" t="s">
        <v>652</v>
      </c>
      <c r="H2"/>
      <c r="I2"/>
      <c r="J2"/>
    </row>
    <row r="3" spans="1:10" ht="24" customHeight="1" x14ac:dyDescent="0.25">
      <c r="A3" s="232"/>
      <c r="B3" s="232"/>
      <c r="C3" s="12" t="s">
        <v>653</v>
      </c>
      <c r="D3" s="12" t="s">
        <v>654</v>
      </c>
      <c r="E3" s="14" t="s">
        <v>655</v>
      </c>
      <c r="F3" s="14" t="s">
        <v>656</v>
      </c>
      <c r="G3" s="402"/>
      <c r="H3"/>
      <c r="I3"/>
      <c r="J3"/>
    </row>
    <row r="4" spans="1:10" ht="36.75" customHeight="1" x14ac:dyDescent="0.25">
      <c r="A4" s="9">
        <v>1</v>
      </c>
      <c r="B4" s="13" t="s">
        <v>657</v>
      </c>
      <c r="C4" s="97">
        <f>'QTD SERVENTE - ITEM 1'!K137</f>
        <v>98</v>
      </c>
      <c r="D4" s="9" t="s">
        <v>156</v>
      </c>
      <c r="E4" s="113">
        <f>C4/30</f>
        <v>3.2666666666666666</v>
      </c>
      <c r="F4" s="98">
        <v>3</v>
      </c>
      <c r="G4" s="98">
        <f>SUM(C4,F4)</f>
        <v>101</v>
      </c>
      <c r="H4"/>
      <c r="I4"/>
      <c r="J4"/>
    </row>
    <row r="5" spans="1:10" ht="36.75" customHeight="1" x14ac:dyDescent="0.25">
      <c r="A5" s="99">
        <v>2</v>
      </c>
      <c r="B5" s="100" t="s">
        <v>658</v>
      </c>
      <c r="C5" s="101">
        <f>'QTD SERVENTE - ITEM 2'!M61</f>
        <v>66</v>
      </c>
      <c r="D5" s="99" t="s">
        <v>156</v>
      </c>
      <c r="E5" s="140">
        <f>C5/30</f>
        <v>2.2000000000000002</v>
      </c>
      <c r="F5" s="102">
        <v>2</v>
      </c>
      <c r="G5" s="102">
        <f>SUM(C5,F5)</f>
        <v>68</v>
      </c>
      <c r="H5"/>
      <c r="I5"/>
      <c r="J5"/>
    </row>
    <row r="6" spans="1:10" ht="36.75" customHeight="1" x14ac:dyDescent="0.25">
      <c r="A6" s="245">
        <v>3</v>
      </c>
      <c r="B6" s="13" t="s">
        <v>659</v>
      </c>
      <c r="C6" s="97">
        <f>'QTD SERVENTE - ITEM 3'!I23</f>
        <v>19</v>
      </c>
      <c r="D6" s="97">
        <f>'QTD SERVENTE - ITEM 3'!I24</f>
        <v>25</v>
      </c>
      <c r="E6" s="403">
        <f>C7/30</f>
        <v>1.4666666666666666</v>
      </c>
      <c r="F6" s="409">
        <v>1</v>
      </c>
      <c r="G6" s="404">
        <f>SUM(C7,F6)</f>
        <v>45</v>
      </c>
      <c r="H6"/>
      <c r="I6"/>
      <c r="J6"/>
    </row>
    <row r="7" spans="1:10" ht="25.5" customHeight="1" x14ac:dyDescent="0.25">
      <c r="A7" s="245"/>
      <c r="B7" s="9" t="s">
        <v>660</v>
      </c>
      <c r="C7" s="406">
        <f>SUM(C6:D6)</f>
        <v>44</v>
      </c>
      <c r="D7" s="245"/>
      <c r="E7" s="403"/>
      <c r="F7" s="410"/>
      <c r="G7" s="405"/>
      <c r="H7"/>
      <c r="I7"/>
      <c r="J7"/>
    </row>
    <row r="8" spans="1:10" ht="41.25" customHeight="1" x14ac:dyDescent="0.25">
      <c r="A8" s="407" t="s">
        <v>661</v>
      </c>
      <c r="B8" s="411"/>
      <c r="C8" s="411"/>
      <c r="D8" s="411"/>
      <c r="E8" s="411"/>
      <c r="F8" s="408"/>
      <c r="G8" s="103">
        <f>SUM(G4:G7)</f>
        <v>214</v>
      </c>
      <c r="H8"/>
      <c r="I8"/>
      <c r="J8"/>
    </row>
    <row r="9" spans="1:10" ht="33" customHeight="1" x14ac:dyDescent="0.25">
      <c r="A9" s="401" t="s">
        <v>662</v>
      </c>
      <c r="B9" s="401"/>
      <c r="C9" s="401"/>
      <c r="D9" s="401"/>
      <c r="E9" s="401"/>
      <c r="F9" s="401"/>
      <c r="G9" s="401"/>
      <c r="H9"/>
      <c r="I9"/>
      <c r="J9"/>
    </row>
  </sheetData>
  <mergeCells count="12">
    <mergeCell ref="A9:G9"/>
    <mergeCell ref="A2:A3"/>
    <mergeCell ref="B2:B3"/>
    <mergeCell ref="C2:D2"/>
    <mergeCell ref="G2:G3"/>
    <mergeCell ref="A6:A7"/>
    <mergeCell ref="E6:E7"/>
    <mergeCell ref="G6:G7"/>
    <mergeCell ref="C7:D7"/>
    <mergeCell ref="E2:F2"/>
    <mergeCell ref="F6:F7"/>
    <mergeCell ref="A8:F8"/>
  </mergeCells>
  <printOptions horizontalCentered="1"/>
  <pageMargins left="0.51181102362204722" right="0.51181102362204722" top="1.5748031496062993" bottom="0.78740157480314965" header="1.1023622047244095" footer="0.31496062992125984"/>
  <pageSetup paperSize="9" scale="94" fitToHeight="0" orientation="landscape" horizontalDpi="300" verticalDpi="300" r:id="rId1"/>
  <headerFooter>
    <oddHeader>&amp;C&amp;"Arial,Negrito"&amp;12&amp;UQUADRO RESUMO DO CÁLCULO DA QUANTIDADE TOTAL DE POSTOS DE TRABALHO PARA A CONTRATAÇÃO DOS SERVIÇOS DE LIMPEZA E CONSERVAÇÃO</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2"/>
  <sheetViews>
    <sheetView tabSelected="1" topLeftCell="A15" workbookViewId="0">
      <selection activeCell="K66" sqref="K66"/>
    </sheetView>
  </sheetViews>
  <sheetFormatPr defaultRowHeight="14.25" x14ac:dyDescent="0.25"/>
  <cols>
    <col min="1" max="1" width="20.140625" style="1" customWidth="1"/>
    <col min="2" max="2" width="7.7109375" style="1" customWidth="1"/>
    <col min="3" max="3" width="20.140625" style="1" customWidth="1"/>
    <col min="4" max="4" width="7.7109375" style="1" customWidth="1"/>
    <col min="5" max="5" width="20.140625" style="1" customWidth="1"/>
    <col min="6" max="6" width="7.7109375" style="1" customWidth="1"/>
    <col min="7" max="7" width="20.140625" style="1" customWidth="1"/>
    <col min="8" max="8" width="7.7109375" style="1" customWidth="1"/>
    <col min="9" max="9" width="20.140625" style="1" customWidth="1"/>
    <col min="10" max="10" width="7.7109375" style="1" customWidth="1"/>
    <col min="11" max="11" width="20.140625" style="1" customWidth="1"/>
    <col min="12" max="12" width="7.7109375" style="1" customWidth="1"/>
    <col min="13" max="13" width="18.7109375" style="1" customWidth="1"/>
    <col min="14" max="14" width="6.28515625" style="1" customWidth="1"/>
    <col min="15" max="15" width="12.7109375" style="1" customWidth="1"/>
    <col min="16" max="16" width="6.28515625" style="1" customWidth="1"/>
    <col min="17" max="16384" width="9.140625" style="1"/>
  </cols>
  <sheetData>
    <row r="1" spans="1:12" ht="25.5" customHeight="1" x14ac:dyDescent="0.25">
      <c r="A1" s="430" t="s">
        <v>663</v>
      </c>
      <c r="B1" s="431"/>
      <c r="C1" s="431"/>
      <c r="D1" s="431"/>
      <c r="E1" s="431"/>
      <c r="F1" s="431"/>
      <c r="G1" s="431"/>
      <c r="H1" s="431"/>
      <c r="I1" s="431"/>
      <c r="J1" s="431"/>
      <c r="K1" s="431"/>
      <c r="L1" s="432"/>
    </row>
    <row r="2" spans="1:12" ht="25.5" customHeight="1" x14ac:dyDescent="0.25">
      <c r="A2" s="246" t="s">
        <v>559</v>
      </c>
      <c r="B2" s="247"/>
      <c r="C2" s="247"/>
      <c r="D2" s="247"/>
      <c r="E2" s="247"/>
      <c r="F2" s="247"/>
      <c r="G2" s="247"/>
      <c r="H2" s="247"/>
      <c r="I2" s="247"/>
      <c r="J2" s="247"/>
      <c r="K2" s="247"/>
      <c r="L2" s="248"/>
    </row>
    <row r="3" spans="1:12" ht="48.75" customHeight="1" x14ac:dyDescent="0.25">
      <c r="A3" s="249" t="s">
        <v>560</v>
      </c>
      <c r="B3" s="249"/>
      <c r="C3" s="250" t="s">
        <v>561</v>
      </c>
      <c r="D3" s="251"/>
      <c r="E3" s="249" t="s">
        <v>562</v>
      </c>
      <c r="F3" s="249"/>
      <c r="G3" s="250" t="s">
        <v>563</v>
      </c>
      <c r="H3" s="251"/>
      <c r="I3" s="433" t="s">
        <v>564</v>
      </c>
      <c r="J3" s="434"/>
      <c r="K3" s="433" t="s">
        <v>565</v>
      </c>
      <c r="L3" s="434"/>
    </row>
    <row r="4" spans="1:12" ht="25.5" customHeight="1" x14ac:dyDescent="0.25">
      <c r="A4" s="420" t="s">
        <v>664</v>
      </c>
      <c r="B4" s="421"/>
      <c r="C4" s="421"/>
      <c r="D4" s="421"/>
      <c r="E4" s="421"/>
      <c r="F4" s="421"/>
      <c r="G4" s="421"/>
      <c r="H4" s="421"/>
      <c r="I4" s="421"/>
      <c r="J4" s="421"/>
      <c r="K4" s="421"/>
      <c r="L4" s="422"/>
    </row>
    <row r="5" spans="1:12" ht="25.5" customHeight="1" x14ac:dyDescent="0.25">
      <c r="A5" s="156">
        <f>(1/'PRODUTIVIDADE IN 05-2017'!A3)*'Custo Servente SEG-DOM - ITEM 1'!$C$155</f>
        <v>6.543668929598927</v>
      </c>
      <c r="B5" s="154" t="s">
        <v>665</v>
      </c>
      <c r="C5" s="418" t="s">
        <v>156</v>
      </c>
      <c r="D5" s="419"/>
      <c r="E5" s="156">
        <f>(1/'PRODUTIVIDADE IN 05-2017'!E3)*'Custo Servente SEG-DOM - ITEM 1'!$C$155</f>
        <v>3.4899567624527608</v>
      </c>
      <c r="F5" s="154" t="s">
        <v>665</v>
      </c>
      <c r="G5" s="423" t="s">
        <v>156</v>
      </c>
      <c r="H5" s="424"/>
      <c r="I5" s="156">
        <f>(1/'PRODUTIVIDADE IN 05-2017'!I3)*'Custo Servente SEG-DOM - ITEM 1'!$C$155</f>
        <v>5.2349351436791416</v>
      </c>
      <c r="J5" s="154" t="s">
        <v>665</v>
      </c>
      <c r="K5" s="156">
        <f>(1/'PRODUTIVIDADE IN 05-2017'!K3)*'Custo Servente SEG-DOM - ITEM 1'!$C$155</f>
        <v>26.174675718395708</v>
      </c>
      <c r="L5" s="154" t="s">
        <v>665</v>
      </c>
    </row>
    <row r="6" spans="1:12" ht="25.5" customHeight="1" x14ac:dyDescent="0.25">
      <c r="A6" s="425" t="s">
        <v>666</v>
      </c>
      <c r="B6" s="426"/>
      <c r="C6" s="426"/>
      <c r="D6" s="426"/>
      <c r="E6" s="426"/>
      <c r="F6" s="426"/>
      <c r="G6" s="426"/>
      <c r="H6" s="426"/>
      <c r="I6" s="426"/>
      <c r="J6" s="426"/>
      <c r="K6" s="426"/>
      <c r="L6" s="427"/>
    </row>
    <row r="7" spans="1:12" ht="25.5" customHeight="1" x14ac:dyDescent="0.25">
      <c r="A7" s="156">
        <f>(1/(30*'PRODUTIVIDADE IN 05-2017'!A3))*'Custo Encarreg SEG-DOM - ITEM 1'!$C$155</f>
        <v>0.33538779761453846</v>
      </c>
      <c r="B7" s="154" t="s">
        <v>665</v>
      </c>
      <c r="C7" s="418" t="s">
        <v>156</v>
      </c>
      <c r="D7" s="419"/>
      <c r="E7" s="156">
        <f>(1/(30*'PRODUTIVIDADE IN 05-2017'!E3))*'Custo Encarreg SEG-DOM - ITEM 1'!$C$155</f>
        <v>0.17887349206108719</v>
      </c>
      <c r="F7" s="154" t="s">
        <v>665</v>
      </c>
      <c r="G7" s="423" t="s">
        <v>156</v>
      </c>
      <c r="H7" s="424"/>
      <c r="I7" s="156">
        <f>(1/(30*'PRODUTIVIDADE IN 05-2017'!I3))*'Custo Encarreg SEG-DOM - ITEM 1'!$C$155</f>
        <v>0.26831023809163079</v>
      </c>
      <c r="J7" s="154" t="s">
        <v>665</v>
      </c>
      <c r="K7" s="156">
        <f>(1/(30*'PRODUTIVIDADE IN 05-2017'!K3))*'Custo Encarreg SEG-DOM - ITEM 1'!$C$155</f>
        <v>1.3415511904581539</v>
      </c>
      <c r="L7" s="154" t="s">
        <v>665</v>
      </c>
    </row>
    <row r="8" spans="1:12" ht="25.5" customHeight="1" x14ac:dyDescent="0.25">
      <c r="A8" s="437" t="s">
        <v>314</v>
      </c>
      <c r="B8" s="438"/>
      <c r="C8" s="438"/>
      <c r="D8" s="438"/>
      <c r="E8" s="438"/>
      <c r="F8" s="438"/>
      <c r="G8" s="438"/>
      <c r="H8" s="438"/>
      <c r="I8" s="438"/>
      <c r="J8" s="438"/>
      <c r="K8" s="438"/>
      <c r="L8" s="439"/>
    </row>
    <row r="9" spans="1:12" ht="25.5" customHeight="1" x14ac:dyDescent="0.25">
      <c r="A9" s="158">
        <f>SUM(A5,A7)</f>
        <v>6.8790567272134657</v>
      </c>
      <c r="B9" s="159" t="s">
        <v>665</v>
      </c>
      <c r="C9" s="442" t="s">
        <v>156</v>
      </c>
      <c r="D9" s="443"/>
      <c r="E9" s="158">
        <f>SUM(E5,E7)</f>
        <v>3.668830254513848</v>
      </c>
      <c r="F9" s="159" t="s">
        <v>665</v>
      </c>
      <c r="G9" s="444" t="s">
        <v>156</v>
      </c>
      <c r="H9" s="445"/>
      <c r="I9" s="158">
        <f>SUM(I5,I7)</f>
        <v>5.503245381770772</v>
      </c>
      <c r="J9" s="159" t="s">
        <v>665</v>
      </c>
      <c r="K9" s="158">
        <f>SUM(K5,K7)</f>
        <v>27.516226908853863</v>
      </c>
      <c r="L9" s="159" t="s">
        <v>665</v>
      </c>
    </row>
    <row r="11" spans="1:12" ht="33" customHeight="1" x14ac:dyDescent="0.25">
      <c r="A11" s="254" t="s">
        <v>567</v>
      </c>
      <c r="B11" s="255"/>
      <c r="C11" s="255"/>
      <c r="D11" s="255"/>
      <c r="E11" s="255"/>
      <c r="F11" s="256"/>
      <c r="G11" s="257" t="s">
        <v>568</v>
      </c>
      <c r="H11" s="258"/>
      <c r="I11" s="259" t="s">
        <v>667</v>
      </c>
      <c r="J11" s="259"/>
    </row>
    <row r="12" spans="1:12" ht="67.5" customHeight="1" x14ac:dyDescent="0.25">
      <c r="A12" s="260" t="s">
        <v>570</v>
      </c>
      <c r="B12" s="260"/>
      <c r="C12" s="260" t="s">
        <v>571</v>
      </c>
      <c r="D12" s="260"/>
      <c r="E12" s="261" t="s">
        <v>572</v>
      </c>
      <c r="F12" s="262"/>
      <c r="G12" s="263" t="s">
        <v>573</v>
      </c>
      <c r="H12" s="258"/>
      <c r="I12" s="259"/>
      <c r="J12" s="259"/>
    </row>
    <row r="13" spans="1:12" ht="25.5" customHeight="1" x14ac:dyDescent="0.25">
      <c r="A13" s="412" t="s">
        <v>664</v>
      </c>
      <c r="B13" s="413"/>
      <c r="C13" s="413"/>
      <c r="D13" s="413"/>
      <c r="E13" s="413"/>
      <c r="F13" s="413"/>
      <c r="G13" s="413"/>
      <c r="H13" s="413"/>
      <c r="I13" s="413"/>
      <c r="J13" s="414"/>
    </row>
    <row r="14" spans="1:12" ht="25.5" customHeight="1" x14ac:dyDescent="0.25">
      <c r="A14" s="156">
        <f>(1/'PRODUTIVIDADE IN 05-2017'!A7)*'Custo Servente SEG-DOM - ITEM 1'!$C$155</f>
        <v>2.9082973020439673</v>
      </c>
      <c r="B14" s="154" t="s">
        <v>665</v>
      </c>
      <c r="C14" s="156">
        <f>(1/'PRODUTIVIDADE IN 05-2017'!C7)*'Custo Servente SEG-DOM - ITEM 1'!$C$155</f>
        <v>0.87248919061319019</v>
      </c>
      <c r="D14" s="154" t="s">
        <v>665</v>
      </c>
      <c r="E14" s="156">
        <f>(1/'PRODUTIVIDADE IN 05-2017'!E7)*'Custo Servente SEG-DOM - ITEM 1'!$C$155</f>
        <v>5.2349351436791418E-2</v>
      </c>
      <c r="F14" s="154" t="s">
        <v>665</v>
      </c>
      <c r="G14" s="156">
        <f>(1/'PRODUTIVIDADE IN 05-2017'!G7)*16*(1/((30/7)*44)*'Custo Servente SEG-DOM - ITEM 1'!$C$155)</f>
        <v>1.4805877174042017</v>
      </c>
      <c r="H14" s="154" t="s">
        <v>665</v>
      </c>
      <c r="I14" s="440" t="s">
        <v>156</v>
      </c>
      <c r="J14" s="441"/>
    </row>
    <row r="15" spans="1:12" ht="25.5" customHeight="1" x14ac:dyDescent="0.25">
      <c r="A15" s="412" t="s">
        <v>666</v>
      </c>
      <c r="B15" s="413"/>
      <c r="C15" s="413"/>
      <c r="D15" s="413"/>
      <c r="E15" s="413"/>
      <c r="F15" s="413"/>
      <c r="G15" s="413"/>
      <c r="H15" s="413"/>
      <c r="I15" s="413"/>
      <c r="J15" s="414"/>
    </row>
    <row r="16" spans="1:12" ht="25.5" customHeight="1" x14ac:dyDescent="0.25">
      <c r="A16" s="156">
        <f>(1/(30*'PRODUTIVIDADE IN 05-2017'!A7))*'Custo Encarreg SEG-DOM - ITEM 1'!$C$155</f>
        <v>0.14906124338423932</v>
      </c>
      <c r="B16" s="154" t="s">
        <v>665</v>
      </c>
      <c r="C16" s="156">
        <f>(1/(30*'PRODUTIVIDADE IN 05-2017'!C7))*'Custo Encarreg SEG-DOM - ITEM 1'!$C$155</f>
        <v>4.4718373015271796E-2</v>
      </c>
      <c r="D16" s="154" t="s">
        <v>665</v>
      </c>
      <c r="E16" s="156">
        <f>(1/(30*'PRODUTIVIDADE IN 05-2017'!E7))*'Custo Encarreg SEG-DOM - ITEM 1'!$C$155</f>
        <v>2.6831023809163078E-3</v>
      </c>
      <c r="F16" s="154" t="s">
        <v>665</v>
      </c>
      <c r="G16" s="156">
        <f>(1/(30*'PRODUTIVIDADE IN 05-2017'!G7))*16*(1/((30/7)*44)*'Custo Encarreg SEG-DOM - ITEM 1'!$C$155)</f>
        <v>7.5885723904703661E-2</v>
      </c>
      <c r="H16" s="154" t="s">
        <v>665</v>
      </c>
      <c r="I16" s="440" t="s">
        <v>156</v>
      </c>
      <c r="J16" s="441"/>
    </row>
    <row r="17" spans="1:12" ht="25.5" customHeight="1" x14ac:dyDescent="0.25">
      <c r="A17" s="415" t="s">
        <v>314</v>
      </c>
      <c r="B17" s="416"/>
      <c r="C17" s="416"/>
      <c r="D17" s="416"/>
      <c r="E17" s="416"/>
      <c r="F17" s="416"/>
      <c r="G17" s="416"/>
      <c r="H17" s="416"/>
      <c r="I17" s="416"/>
      <c r="J17" s="417"/>
    </row>
    <row r="18" spans="1:12" ht="25.5" customHeight="1" x14ac:dyDescent="0.25">
      <c r="A18" s="158">
        <f>SUM(A14,A16)</f>
        <v>3.0573585454282064</v>
      </c>
      <c r="B18" s="159" t="s">
        <v>665</v>
      </c>
      <c r="C18" s="158">
        <f t="shared" ref="C18" si="0">SUM(C14,C16)</f>
        <v>0.91720756362846201</v>
      </c>
      <c r="D18" s="159" t="s">
        <v>665</v>
      </c>
      <c r="E18" s="158">
        <f t="shared" ref="E18" si="1">SUM(E14,E16)</f>
        <v>5.5032453817707723E-2</v>
      </c>
      <c r="F18" s="159" t="s">
        <v>665</v>
      </c>
      <c r="G18" s="158">
        <f t="shared" ref="G18" si="2">SUM(G14,G16)</f>
        <v>1.5564734413089054</v>
      </c>
      <c r="H18" s="159" t="s">
        <v>665</v>
      </c>
      <c r="I18" s="435" t="s">
        <v>156</v>
      </c>
      <c r="J18" s="436"/>
    </row>
    <row r="21" spans="1:12" ht="25.5" customHeight="1" x14ac:dyDescent="0.25">
      <c r="A21" s="430" t="s">
        <v>668</v>
      </c>
      <c r="B21" s="431"/>
      <c r="C21" s="431"/>
      <c r="D21" s="431"/>
      <c r="E21" s="431"/>
      <c r="F21" s="431"/>
      <c r="G21" s="431"/>
      <c r="H21" s="431"/>
      <c r="I21" s="431"/>
      <c r="J21" s="431"/>
      <c r="K21" s="431"/>
      <c r="L21" s="432"/>
    </row>
    <row r="22" spans="1:12" ht="25.5" customHeight="1" x14ac:dyDescent="0.25">
      <c r="A22" s="246" t="s">
        <v>559</v>
      </c>
      <c r="B22" s="247"/>
      <c r="C22" s="247"/>
      <c r="D22" s="247"/>
      <c r="E22" s="247"/>
      <c r="F22" s="247"/>
      <c r="G22" s="247"/>
      <c r="H22" s="247"/>
      <c r="I22" s="247"/>
      <c r="J22" s="247"/>
      <c r="K22" s="247"/>
      <c r="L22" s="248"/>
    </row>
    <row r="23" spans="1:12" ht="48.75" customHeight="1" x14ac:dyDescent="0.25">
      <c r="A23" s="249" t="s">
        <v>560</v>
      </c>
      <c r="B23" s="249"/>
      <c r="C23" s="250" t="s">
        <v>561</v>
      </c>
      <c r="D23" s="251"/>
      <c r="E23" s="249" t="s">
        <v>562</v>
      </c>
      <c r="F23" s="249"/>
      <c r="G23" s="250" t="s">
        <v>563</v>
      </c>
      <c r="H23" s="251"/>
      <c r="I23" s="433" t="s">
        <v>564</v>
      </c>
      <c r="J23" s="434"/>
      <c r="K23" s="433" t="s">
        <v>565</v>
      </c>
      <c r="L23" s="434"/>
    </row>
    <row r="24" spans="1:12" ht="25.5" customHeight="1" x14ac:dyDescent="0.25">
      <c r="A24" s="420" t="s">
        <v>664</v>
      </c>
      <c r="B24" s="421"/>
      <c r="C24" s="421"/>
      <c r="D24" s="421"/>
      <c r="E24" s="421"/>
      <c r="F24" s="421"/>
      <c r="G24" s="421"/>
      <c r="H24" s="421"/>
      <c r="I24" s="421"/>
      <c r="J24" s="421"/>
      <c r="K24" s="421"/>
      <c r="L24" s="422"/>
    </row>
    <row r="25" spans="1:12" ht="25.5" customHeight="1" x14ac:dyDescent="0.25">
      <c r="A25" s="156">
        <f>(1/'PRODUTIVIDADE IN 05-2017'!A3)*'Custo Servente SEG-SEX - ITEM 2'!C155</f>
        <v>6.0991716210240519</v>
      </c>
      <c r="B25" s="154" t="s">
        <v>665</v>
      </c>
      <c r="C25" s="157">
        <f>(1/'PRODUTIVIDADE IN 05-2017'!C3)*'Custo Servente SEG-SEX - ITEM 2'!C155</f>
        <v>13.553714713386782</v>
      </c>
      <c r="D25" s="154" t="s">
        <v>665</v>
      </c>
      <c r="E25" s="156">
        <f>(1/'PRODUTIVIDADE IN 05-2017'!E3)*'Custo Servente SEG-SEX - ITEM 2'!C155</f>
        <v>3.2528915312128275</v>
      </c>
      <c r="F25" s="154" t="s">
        <v>665</v>
      </c>
      <c r="G25" s="58">
        <f>(1/'PRODUTIVIDADE IN 05-2017'!G3)*'Custo Servente SEG-SEX - ITEM 2'!C155</f>
        <v>4.0661144140160346</v>
      </c>
      <c r="H25" s="154" t="s">
        <v>665</v>
      </c>
      <c r="I25" s="156">
        <f>(1/'PRODUTIVIDADE IN 05-2017'!I3)*'Custo Servente SEG-SEX - ITEM 2'!C155</f>
        <v>4.8793372968192417</v>
      </c>
      <c r="J25" s="154" t="s">
        <v>665</v>
      </c>
      <c r="K25" s="156">
        <f>(1/'PRODUTIVIDADE IN 05-2017'!K3)*'Custo Servente SEG-SEX - ITEM 2'!C155</f>
        <v>24.396686484096207</v>
      </c>
      <c r="L25" s="154" t="s">
        <v>665</v>
      </c>
    </row>
    <row r="26" spans="1:12" ht="25.5" customHeight="1" x14ac:dyDescent="0.25">
      <c r="A26" s="425" t="s">
        <v>666</v>
      </c>
      <c r="B26" s="426"/>
      <c r="C26" s="426"/>
      <c r="D26" s="426"/>
      <c r="E26" s="426"/>
      <c r="F26" s="426"/>
      <c r="G26" s="426"/>
      <c r="H26" s="426"/>
      <c r="I26" s="426"/>
      <c r="J26" s="426"/>
      <c r="K26" s="426"/>
      <c r="L26" s="427"/>
    </row>
    <row r="27" spans="1:12" ht="25.5" customHeight="1" x14ac:dyDescent="0.25">
      <c r="A27" s="156">
        <f>(1/(30*'PRODUTIVIDADE IN 05-2017'!A3))*'Custo Encarreg SEG-SEX - ITEM 2'!C155</f>
        <v>0.32057122066204258</v>
      </c>
      <c r="B27" s="154" t="s">
        <v>665</v>
      </c>
      <c r="C27" s="156">
        <f>(1/(30*'PRODUTIVIDADE IN 05-2017'!C3))*'Custo Encarreg SEG-SEX - ITEM 2'!C155</f>
        <v>0.71238049036009465</v>
      </c>
      <c r="D27" s="154" t="s">
        <v>665</v>
      </c>
      <c r="E27" s="156">
        <f>(1/(30*'PRODUTIVIDADE IN 05-2017'!E3))*'Custo Encarreg SEG-SEX - ITEM 2'!C155</f>
        <v>0.17097131768642274</v>
      </c>
      <c r="F27" s="154" t="s">
        <v>665</v>
      </c>
      <c r="G27" s="156">
        <f>(1/(30*'PRODUTIVIDADE IN 05-2017'!G3))*'Custo Encarreg SEG-SEX - ITEM 2'!C155</f>
        <v>0.21371414710802841</v>
      </c>
      <c r="H27" s="154" t="s">
        <v>665</v>
      </c>
      <c r="I27" s="156">
        <f>(1/(30*'PRODUTIVIDADE IN 05-2017'!I3))*'Custo Encarreg SEG-SEX - ITEM 2'!C155</f>
        <v>0.25645697652963412</v>
      </c>
      <c r="J27" s="154" t="s">
        <v>665</v>
      </c>
      <c r="K27" s="156">
        <f>(1/(30*'PRODUTIVIDADE IN 05-2017'!K3))*'Custo Encarreg SEG-SEX - ITEM 2'!C155</f>
        <v>1.2822848826481703</v>
      </c>
      <c r="L27" s="154" t="s">
        <v>665</v>
      </c>
    </row>
    <row r="28" spans="1:12" ht="25.5" customHeight="1" x14ac:dyDescent="0.25">
      <c r="A28" s="437" t="s">
        <v>314</v>
      </c>
      <c r="B28" s="438"/>
      <c r="C28" s="438"/>
      <c r="D28" s="438"/>
      <c r="E28" s="438"/>
      <c r="F28" s="438"/>
      <c r="G28" s="438"/>
      <c r="H28" s="438"/>
      <c r="I28" s="438"/>
      <c r="J28" s="438"/>
      <c r="K28" s="438"/>
      <c r="L28" s="439"/>
    </row>
    <row r="29" spans="1:12" ht="25.5" customHeight="1" x14ac:dyDescent="0.25">
      <c r="A29" s="158">
        <f>SUM(A25,A27)</f>
        <v>6.4197428416860944</v>
      </c>
      <c r="B29" s="159" t="s">
        <v>665</v>
      </c>
      <c r="C29" s="158">
        <f>SUM(C25,C27)</f>
        <v>14.266095203746877</v>
      </c>
      <c r="D29" s="159" t="s">
        <v>665</v>
      </c>
      <c r="E29" s="158">
        <f>SUM(E25,E27)</f>
        <v>3.4238628488992502</v>
      </c>
      <c r="F29" s="159" t="s">
        <v>665</v>
      </c>
      <c r="G29" s="158">
        <f>SUM(G25,G27)</f>
        <v>4.279828561124063</v>
      </c>
      <c r="H29" s="159" t="s">
        <v>665</v>
      </c>
      <c r="I29" s="158">
        <f>SUM(I25,I27)</f>
        <v>5.1357942733488757</v>
      </c>
      <c r="J29" s="159" t="s">
        <v>665</v>
      </c>
      <c r="K29" s="158">
        <f>SUM(K25,K27)</f>
        <v>25.678971366744378</v>
      </c>
      <c r="L29" s="159" t="s">
        <v>665</v>
      </c>
    </row>
    <row r="31" spans="1:12" ht="33" customHeight="1" x14ac:dyDescent="0.25">
      <c r="A31" s="254" t="s">
        <v>567</v>
      </c>
      <c r="B31" s="255"/>
      <c r="C31" s="255"/>
      <c r="D31" s="255"/>
      <c r="E31" s="255"/>
      <c r="F31" s="256"/>
      <c r="G31" s="257" t="s">
        <v>568</v>
      </c>
      <c r="H31" s="258"/>
      <c r="I31" s="259" t="s">
        <v>667</v>
      </c>
      <c r="J31" s="259"/>
    </row>
    <row r="32" spans="1:12" ht="67.5" customHeight="1" x14ac:dyDescent="0.25">
      <c r="A32" s="260" t="s">
        <v>570</v>
      </c>
      <c r="B32" s="260"/>
      <c r="C32" s="260" t="s">
        <v>571</v>
      </c>
      <c r="D32" s="260"/>
      <c r="E32" s="261" t="s">
        <v>572</v>
      </c>
      <c r="F32" s="262"/>
      <c r="G32" s="263" t="s">
        <v>573</v>
      </c>
      <c r="H32" s="258"/>
      <c r="I32" s="259"/>
      <c r="J32" s="259"/>
    </row>
    <row r="33" spans="1:12" ht="25.5" customHeight="1" x14ac:dyDescent="0.25">
      <c r="A33" s="412" t="s">
        <v>664</v>
      </c>
      <c r="B33" s="413"/>
      <c r="C33" s="413"/>
      <c r="D33" s="413"/>
      <c r="E33" s="413"/>
      <c r="F33" s="413"/>
      <c r="G33" s="413"/>
      <c r="H33" s="413"/>
      <c r="I33" s="413"/>
      <c r="J33" s="414"/>
    </row>
    <row r="34" spans="1:12" ht="25.5" customHeight="1" x14ac:dyDescent="0.25">
      <c r="A34" s="156">
        <f>(1/'PRODUTIVIDADE IN 05-2017'!A7)*'Custo Servente SEG-SEX - ITEM 2'!C155</f>
        <v>2.7107429426773564</v>
      </c>
      <c r="B34" s="154" t="s">
        <v>665</v>
      </c>
      <c r="C34" s="156">
        <f>(1/'PRODUTIVIDADE IN 05-2017'!C7)*'Custo Servente SEG-SEX - ITEM 2'!C155</f>
        <v>0.81322288280320687</v>
      </c>
      <c r="D34" s="154" t="s">
        <v>665</v>
      </c>
      <c r="E34" s="156">
        <f>(1/'PRODUTIVIDADE IN 05-2017'!E7)*'Custo Servente SEG-SEX - ITEM 2'!C155</f>
        <v>4.8793372968192417E-2</v>
      </c>
      <c r="F34" s="154" t="s">
        <v>665</v>
      </c>
      <c r="G34" s="156">
        <f>(1/'PRODUTIVIDADE IN 05-2017'!G7)*16*(1/((30/7)*44)*'Custo Servente SEG-SEX - ITEM 2'!C155)</f>
        <v>1.3800145889993818</v>
      </c>
      <c r="H34" s="154" t="s">
        <v>665</v>
      </c>
      <c r="I34" s="440" t="s">
        <v>156</v>
      </c>
      <c r="J34" s="441"/>
    </row>
    <row r="35" spans="1:12" ht="25.5" customHeight="1" x14ac:dyDescent="0.25">
      <c r="A35" s="412" t="s">
        <v>666</v>
      </c>
      <c r="B35" s="413"/>
      <c r="C35" s="413"/>
      <c r="D35" s="413"/>
      <c r="E35" s="413"/>
      <c r="F35" s="413"/>
      <c r="G35" s="413"/>
      <c r="H35" s="413"/>
      <c r="I35" s="413"/>
      <c r="J35" s="414"/>
    </row>
    <row r="36" spans="1:12" ht="25.5" customHeight="1" x14ac:dyDescent="0.25">
      <c r="A36" s="156">
        <f>(1/(30*'PRODUTIVIDADE IN 05-2017'!A7))*'Custo Encarreg SEG-SEX - ITEM 2'!C155</f>
        <v>0.14247609807201894</v>
      </c>
      <c r="B36" s="154" t="s">
        <v>665</v>
      </c>
      <c r="C36" s="156">
        <f>(1/(30*'PRODUTIVIDADE IN 05-2017'!C7))*'Custo Encarreg SEG-SEX - ITEM 2'!C155</f>
        <v>4.2742829421605684E-2</v>
      </c>
      <c r="D36" s="154" t="s">
        <v>665</v>
      </c>
      <c r="E36" s="156">
        <f>(1/(30*'PRODUTIVIDADE IN 05-2017'!E7))*'Custo Encarreg SEG-SEX - ITEM 2'!C155</f>
        <v>2.5645697652963411E-3</v>
      </c>
      <c r="F36" s="154" t="s">
        <v>665</v>
      </c>
      <c r="G36" s="156">
        <f>(1/(30*'PRODUTIVIDADE IN 05-2017'!G7))*16*(1/((30/7)*44)*'Custo Encarreg SEG-SEX - ITEM 2'!C155)</f>
        <v>7.2533286291209642E-2</v>
      </c>
      <c r="H36" s="154" t="s">
        <v>665</v>
      </c>
      <c r="I36" s="440" t="s">
        <v>156</v>
      </c>
      <c r="J36" s="441"/>
    </row>
    <row r="37" spans="1:12" ht="25.5" customHeight="1" x14ac:dyDescent="0.25">
      <c r="A37" s="415" t="s">
        <v>314</v>
      </c>
      <c r="B37" s="416"/>
      <c r="C37" s="416"/>
      <c r="D37" s="416"/>
      <c r="E37" s="416"/>
      <c r="F37" s="416"/>
      <c r="G37" s="416"/>
      <c r="H37" s="416"/>
      <c r="I37" s="416"/>
      <c r="J37" s="417"/>
    </row>
    <row r="38" spans="1:12" ht="25.5" customHeight="1" x14ac:dyDescent="0.25">
      <c r="A38" s="158">
        <f>SUM(A34,A36)</f>
        <v>2.8532190407493752</v>
      </c>
      <c r="B38" s="159" t="s">
        <v>665</v>
      </c>
      <c r="C38" s="158">
        <f t="shared" ref="C38" si="3">SUM(C34,C36)</f>
        <v>0.85596571222481255</v>
      </c>
      <c r="D38" s="159" t="s">
        <v>665</v>
      </c>
      <c r="E38" s="158">
        <f t="shared" ref="E38" si="4">SUM(E34,E36)</f>
        <v>5.1357942733488759E-2</v>
      </c>
      <c r="F38" s="159" t="s">
        <v>665</v>
      </c>
      <c r="G38" s="158">
        <f t="shared" ref="G38" si="5">SUM(G34,G36)</f>
        <v>1.4525478752905914</v>
      </c>
      <c r="H38" s="159" t="s">
        <v>665</v>
      </c>
      <c r="I38" s="435" t="s">
        <v>156</v>
      </c>
      <c r="J38" s="436"/>
    </row>
    <row r="41" spans="1:12" ht="25.5" customHeight="1" x14ac:dyDescent="0.25">
      <c r="A41" s="430" t="s">
        <v>669</v>
      </c>
      <c r="B41" s="431"/>
      <c r="C41" s="431"/>
      <c r="D41" s="431"/>
      <c r="E41" s="431"/>
      <c r="F41" s="431"/>
      <c r="G41" s="431"/>
      <c r="H41" s="431"/>
      <c r="I41" s="431"/>
      <c r="J41" s="431"/>
      <c r="K41" s="431"/>
      <c r="L41" s="432"/>
    </row>
    <row r="42" spans="1:12" ht="25.5" customHeight="1" x14ac:dyDescent="0.25">
      <c r="A42" s="246" t="s">
        <v>559</v>
      </c>
      <c r="B42" s="247"/>
      <c r="C42" s="247"/>
      <c r="D42" s="247"/>
      <c r="E42" s="247"/>
      <c r="F42" s="247"/>
      <c r="G42" s="247"/>
      <c r="H42" s="247"/>
      <c r="I42" s="247"/>
      <c r="J42" s="247"/>
      <c r="K42" s="247"/>
      <c r="L42" s="248"/>
    </row>
    <row r="43" spans="1:12" ht="48.75" customHeight="1" x14ac:dyDescent="0.25">
      <c r="A43" s="249" t="s">
        <v>560</v>
      </c>
      <c r="B43" s="249"/>
      <c r="C43" s="250" t="s">
        <v>561</v>
      </c>
      <c r="D43" s="251"/>
      <c r="E43" s="249" t="s">
        <v>562</v>
      </c>
      <c r="F43" s="249"/>
      <c r="G43" s="250" t="s">
        <v>563</v>
      </c>
      <c r="H43" s="251"/>
      <c r="I43" s="433" t="s">
        <v>564</v>
      </c>
      <c r="J43" s="434"/>
      <c r="K43" s="433" t="s">
        <v>565</v>
      </c>
      <c r="L43" s="434"/>
    </row>
    <row r="44" spans="1:12" ht="25.5" customHeight="1" x14ac:dyDescent="0.25">
      <c r="A44" s="420" t="s">
        <v>664</v>
      </c>
      <c r="B44" s="421"/>
      <c r="C44" s="421"/>
      <c r="D44" s="421"/>
      <c r="E44" s="421"/>
      <c r="F44" s="421"/>
      <c r="G44" s="421"/>
      <c r="H44" s="421"/>
      <c r="I44" s="421"/>
      <c r="J44" s="421"/>
      <c r="K44" s="421"/>
      <c r="L44" s="422"/>
    </row>
    <row r="45" spans="1:12" ht="25.5" customHeight="1" x14ac:dyDescent="0.25">
      <c r="A45" s="418" t="s">
        <v>156</v>
      </c>
      <c r="B45" s="419"/>
      <c r="C45" s="418" t="s">
        <v>156</v>
      </c>
      <c r="D45" s="419"/>
      <c r="E45" s="418" t="s">
        <v>156</v>
      </c>
      <c r="F45" s="419"/>
      <c r="G45" s="423" t="s">
        <v>156</v>
      </c>
      <c r="H45" s="424"/>
      <c r="I45" s="428" t="s">
        <v>156</v>
      </c>
      <c r="J45" s="429"/>
      <c r="K45" s="156">
        <f>(1/'PRODUTIVIDADE IN 05-2017'!K3)*'Custo Servente SEG-SEX - ITEM 3'!C155</f>
        <v>24.509193687685705</v>
      </c>
      <c r="L45" s="154" t="s">
        <v>665</v>
      </c>
    </row>
    <row r="46" spans="1:12" ht="25.5" customHeight="1" x14ac:dyDescent="0.25">
      <c r="A46" s="420" t="s">
        <v>670</v>
      </c>
      <c r="B46" s="421"/>
      <c r="C46" s="421"/>
      <c r="D46" s="421"/>
      <c r="E46" s="421"/>
      <c r="F46" s="421"/>
      <c r="G46" s="421"/>
      <c r="H46" s="421"/>
      <c r="I46" s="421"/>
      <c r="J46" s="421"/>
      <c r="K46" s="421"/>
      <c r="L46" s="422"/>
    </row>
    <row r="47" spans="1:12" ht="25.5" customHeight="1" x14ac:dyDescent="0.25">
      <c r="A47" s="418" t="s">
        <v>156</v>
      </c>
      <c r="B47" s="419"/>
      <c r="C47" s="418" t="s">
        <v>156</v>
      </c>
      <c r="D47" s="419"/>
      <c r="E47" s="418" t="s">
        <v>156</v>
      </c>
      <c r="F47" s="419"/>
      <c r="G47" s="423" t="s">
        <v>156</v>
      </c>
      <c r="H47" s="424"/>
      <c r="I47" s="428" t="s">
        <v>156</v>
      </c>
      <c r="J47" s="429"/>
      <c r="K47" s="156">
        <f>(1/'PRODUTIVIDADE IN 05-2017'!K3)*'Custo Serv SEG-SEX INS - ITEM 3'!C155</f>
        <v>27.396283088105765</v>
      </c>
      <c r="L47" s="154" t="s">
        <v>665</v>
      </c>
    </row>
    <row r="48" spans="1:12" ht="25.5" customHeight="1" x14ac:dyDescent="0.25">
      <c r="A48" s="425" t="s">
        <v>666</v>
      </c>
      <c r="B48" s="426"/>
      <c r="C48" s="426"/>
      <c r="D48" s="426"/>
      <c r="E48" s="426"/>
      <c r="F48" s="426"/>
      <c r="G48" s="426"/>
      <c r="H48" s="426"/>
      <c r="I48" s="426"/>
      <c r="J48" s="426"/>
      <c r="K48" s="426"/>
      <c r="L48" s="427"/>
    </row>
    <row r="49" spans="1:12" ht="25.5" customHeight="1" x14ac:dyDescent="0.25">
      <c r="A49" s="418" t="s">
        <v>156</v>
      </c>
      <c r="B49" s="419"/>
      <c r="C49" s="418" t="s">
        <v>156</v>
      </c>
      <c r="D49" s="419"/>
      <c r="E49" s="418" t="s">
        <v>156</v>
      </c>
      <c r="F49" s="419"/>
      <c r="G49" s="423" t="s">
        <v>156</v>
      </c>
      <c r="H49" s="424"/>
      <c r="I49" s="428" t="s">
        <v>156</v>
      </c>
      <c r="J49" s="429"/>
      <c r="K49" s="156">
        <f>(1/(30*'PRODUTIVIDADE IN 05-2017'!K3))*'Custo Encarreg SEG-SEX - ITEM 3'!C155</f>
        <v>1.2860351227678202</v>
      </c>
      <c r="L49" s="154" t="s">
        <v>665</v>
      </c>
    </row>
    <row r="50" spans="1:12" ht="25.5" customHeight="1" x14ac:dyDescent="0.25">
      <c r="A50" s="437" t="s">
        <v>314</v>
      </c>
      <c r="B50" s="438"/>
      <c r="C50" s="438"/>
      <c r="D50" s="438"/>
      <c r="E50" s="438"/>
      <c r="F50" s="438"/>
      <c r="G50" s="438"/>
      <c r="H50" s="438"/>
      <c r="I50" s="438"/>
      <c r="J50" s="438"/>
      <c r="K50" s="438"/>
      <c r="L50" s="439"/>
    </row>
    <row r="51" spans="1:12" ht="25.5" customHeight="1" x14ac:dyDescent="0.25">
      <c r="A51" s="442" t="s">
        <v>156</v>
      </c>
      <c r="B51" s="443"/>
      <c r="C51" s="442" t="s">
        <v>156</v>
      </c>
      <c r="D51" s="443"/>
      <c r="E51" s="442" t="s">
        <v>156</v>
      </c>
      <c r="F51" s="443"/>
      <c r="G51" s="444" t="s">
        <v>156</v>
      </c>
      <c r="H51" s="445"/>
      <c r="I51" s="442" t="s">
        <v>156</v>
      </c>
      <c r="J51" s="443"/>
      <c r="K51" s="158">
        <f>SUM(K45,K47,K49)</f>
        <v>53.191511898559291</v>
      </c>
      <c r="L51" s="159" t="s">
        <v>665</v>
      </c>
    </row>
    <row r="52" spans="1:12" ht="9.75" customHeight="1" x14ac:dyDescent="0.25"/>
    <row r="53" spans="1:12" ht="31.5" customHeight="1" x14ac:dyDescent="0.25">
      <c r="A53" s="254" t="s">
        <v>567</v>
      </c>
      <c r="B53" s="255"/>
      <c r="C53" s="255"/>
      <c r="D53" s="255"/>
      <c r="E53" s="255"/>
      <c r="F53" s="256"/>
      <c r="G53" s="257" t="s">
        <v>568</v>
      </c>
      <c r="H53" s="258"/>
      <c r="I53" s="259" t="s">
        <v>667</v>
      </c>
      <c r="J53" s="259"/>
    </row>
    <row r="54" spans="1:12" ht="67.5" customHeight="1" x14ac:dyDescent="0.25">
      <c r="A54" s="260" t="s">
        <v>570</v>
      </c>
      <c r="B54" s="260"/>
      <c r="C54" s="260" t="s">
        <v>571</v>
      </c>
      <c r="D54" s="260"/>
      <c r="E54" s="261" t="s">
        <v>572</v>
      </c>
      <c r="F54" s="262"/>
      <c r="G54" s="263" t="s">
        <v>573</v>
      </c>
      <c r="H54" s="258"/>
      <c r="I54" s="259"/>
      <c r="J54" s="259"/>
    </row>
    <row r="55" spans="1:12" ht="22.5" customHeight="1" x14ac:dyDescent="0.25">
      <c r="A55" s="412" t="s">
        <v>664</v>
      </c>
      <c r="B55" s="413"/>
      <c r="C55" s="413"/>
      <c r="D55" s="413"/>
      <c r="E55" s="413"/>
      <c r="F55" s="413"/>
      <c r="G55" s="413"/>
      <c r="H55" s="413"/>
      <c r="I55" s="413"/>
      <c r="J55" s="414"/>
    </row>
    <row r="56" spans="1:12" ht="22.5" customHeight="1" x14ac:dyDescent="0.25">
      <c r="A56" s="156">
        <f>(1/'PRODUTIVIDADE IN 05-2017'!A7)*'Custo Servente SEG-SEX - ITEM 3'!C155</f>
        <v>2.7232437430761895</v>
      </c>
      <c r="B56" s="154" t="s">
        <v>665</v>
      </c>
      <c r="C56" s="156">
        <f>(1/'PRODUTIVIDADE IN 05-2017'!C7)*'Custo Servente SEG-SEX - ITEM 3'!C155</f>
        <v>0.81697312292285684</v>
      </c>
      <c r="D56" s="154" t="s">
        <v>665</v>
      </c>
      <c r="E56" s="156">
        <f>(1/'PRODUTIVIDADE IN 05-2017'!E7)*'Custo Servente SEG-SEX - ITEM 3'!C155</f>
        <v>4.9018387375371418E-2</v>
      </c>
      <c r="F56" s="154" t="s">
        <v>665</v>
      </c>
      <c r="G56" s="156">
        <f>(1/'PRODUTIVIDADE IN 05-2017'!G7)*16*(1/((30/7)*44)*'Custo Servente SEG-SEX - ITEM 3'!C155)</f>
        <v>1.3863786328387875</v>
      </c>
      <c r="H56" s="154" t="s">
        <v>665</v>
      </c>
      <c r="I56" s="156">
        <f>(1/'PRODUTIVIDADE IN 05-2017'!I7)*'Custo Servente SEG-SEX - ITEM 3'!C155</f>
        <v>13.616218715380949</v>
      </c>
      <c r="J56" s="154" t="s">
        <v>665</v>
      </c>
    </row>
    <row r="57" spans="1:12" ht="22.5" customHeight="1" x14ac:dyDescent="0.25">
      <c r="A57" s="412" t="s">
        <v>670</v>
      </c>
      <c r="B57" s="413"/>
      <c r="C57" s="413"/>
      <c r="D57" s="413"/>
      <c r="E57" s="413"/>
      <c r="F57" s="413"/>
      <c r="G57" s="413"/>
      <c r="H57" s="413"/>
      <c r="I57" s="413"/>
      <c r="J57" s="414"/>
    </row>
    <row r="58" spans="1:12" ht="22.5" customHeight="1" x14ac:dyDescent="0.25">
      <c r="A58" s="418" t="s">
        <v>156</v>
      </c>
      <c r="B58" s="419"/>
      <c r="C58" s="418" t="s">
        <v>156</v>
      </c>
      <c r="D58" s="419"/>
      <c r="E58" s="418" t="s">
        <v>156</v>
      </c>
      <c r="F58" s="419"/>
      <c r="G58" s="156">
        <f>(1/'PRODUTIVIDADE IN 05-2017'!G7)*16*(1/((30/7)*44)*'Custo Serv SEG-SEX INS - ITEM 3'!C155)</f>
        <v>1.5496887403372959</v>
      </c>
      <c r="H58" s="154" t="s">
        <v>665</v>
      </c>
      <c r="I58" s="156">
        <f>(1/'PRODUTIVIDADE IN 05-2017'!I7)*'Custo Serv SEG-SEX INS - ITEM 3'!C155</f>
        <v>15.220157271169871</v>
      </c>
      <c r="J58" s="154" t="s">
        <v>665</v>
      </c>
    </row>
    <row r="59" spans="1:12" ht="22.5" customHeight="1" x14ac:dyDescent="0.25">
      <c r="A59" s="412" t="s">
        <v>666</v>
      </c>
      <c r="B59" s="413"/>
      <c r="C59" s="413"/>
      <c r="D59" s="413"/>
      <c r="E59" s="413"/>
      <c r="F59" s="413"/>
      <c r="G59" s="413"/>
      <c r="H59" s="413"/>
      <c r="I59" s="413"/>
      <c r="J59" s="414"/>
    </row>
    <row r="60" spans="1:12" ht="22.5" customHeight="1" x14ac:dyDescent="0.25">
      <c r="A60" s="156">
        <f>(1/(30*'PRODUTIVIDADE IN 05-2017'!A7))*'Custo Encarreg SEG-SEX - ITEM 3'!C155</f>
        <v>0.14289279141864669</v>
      </c>
      <c r="B60" s="154" t="s">
        <v>665</v>
      </c>
      <c r="C60" s="156">
        <f>(1/(30*'PRODUTIVIDADE IN 05-2017'!C7))*'Custo Encarreg SEG-SEX - ITEM 3'!C155</f>
        <v>4.286783742559401E-2</v>
      </c>
      <c r="D60" s="154" t="s">
        <v>665</v>
      </c>
      <c r="E60" s="156">
        <f>(1/(30*'PRODUTIVIDADE IN 05-2017'!E7))*'Custo Encarreg SEG-SEX - ITEM 3'!C155</f>
        <v>2.5720702455356405E-3</v>
      </c>
      <c r="F60" s="154" t="s">
        <v>665</v>
      </c>
      <c r="G60" s="156">
        <f>(1/(30*'PRODUTIVIDADE IN 05-2017'!G7))*16*(1/((30/7)*44)*'Custo Encarreg SEG-SEX - ITEM 3'!C155)</f>
        <v>7.2745421085856507E-2</v>
      </c>
      <c r="H60" s="154" t="s">
        <v>665</v>
      </c>
      <c r="I60" s="156">
        <f>(1/(30*'PRODUTIVIDADE IN 05-2017'!I7))*'Custo Encarreg SEG-SEX - ITEM 3'!C155</f>
        <v>0.7144639570932334</v>
      </c>
      <c r="J60" s="154" t="s">
        <v>665</v>
      </c>
    </row>
    <row r="61" spans="1:12" ht="22.5" customHeight="1" x14ac:dyDescent="0.25">
      <c r="A61" s="415" t="s">
        <v>314</v>
      </c>
      <c r="B61" s="416"/>
      <c r="C61" s="416"/>
      <c r="D61" s="416"/>
      <c r="E61" s="416"/>
      <c r="F61" s="416"/>
      <c r="G61" s="416"/>
      <c r="H61" s="416"/>
      <c r="I61" s="416"/>
      <c r="J61" s="417"/>
    </row>
    <row r="62" spans="1:12" ht="22.5" customHeight="1" x14ac:dyDescent="0.25">
      <c r="A62" s="158">
        <f>SUM(A56,A58,A60)</f>
        <v>2.8661365344948364</v>
      </c>
      <c r="B62" s="159" t="s">
        <v>665</v>
      </c>
      <c r="C62" s="158">
        <f>SUM(C56,C58,C60)</f>
        <v>0.85984096034845081</v>
      </c>
      <c r="D62" s="159" t="s">
        <v>665</v>
      </c>
      <c r="E62" s="158">
        <f>SUM(E56,E58,E60)</f>
        <v>5.1590457620907061E-2</v>
      </c>
      <c r="F62" s="159" t="s">
        <v>665</v>
      </c>
      <c r="G62" s="158">
        <f>SUM(G56,G58,G60)</f>
        <v>3.00881279426194</v>
      </c>
      <c r="H62" s="159" t="s">
        <v>665</v>
      </c>
      <c r="I62" s="158">
        <f>SUM(I56,I58,I60)</f>
        <v>29.550839943644053</v>
      </c>
      <c r="J62" s="159" t="s">
        <v>665</v>
      </c>
    </row>
  </sheetData>
  <mergeCells count="100">
    <mergeCell ref="A47:B47"/>
    <mergeCell ref="A49:B49"/>
    <mergeCell ref="A51:B51"/>
    <mergeCell ref="E51:F51"/>
    <mergeCell ref="I51:J51"/>
    <mergeCell ref="A50:L50"/>
    <mergeCell ref="C51:D51"/>
    <mergeCell ref="G51:H51"/>
    <mergeCell ref="A4:L4"/>
    <mergeCell ref="C5:D5"/>
    <mergeCell ref="G5:H5"/>
    <mergeCell ref="A1:L1"/>
    <mergeCell ref="A2:L2"/>
    <mergeCell ref="A3:B3"/>
    <mergeCell ref="C3:D3"/>
    <mergeCell ref="E3:F3"/>
    <mergeCell ref="G3:H3"/>
    <mergeCell ref="I3:J3"/>
    <mergeCell ref="K3:L3"/>
    <mergeCell ref="A8:L8"/>
    <mergeCell ref="C9:D9"/>
    <mergeCell ref="G9:H9"/>
    <mergeCell ref="A6:L6"/>
    <mergeCell ref="C7:D7"/>
    <mergeCell ref="G7:H7"/>
    <mergeCell ref="A11:F11"/>
    <mergeCell ref="G11:H11"/>
    <mergeCell ref="I11:J12"/>
    <mergeCell ref="A12:B12"/>
    <mergeCell ref="C12:D12"/>
    <mergeCell ref="E12:F12"/>
    <mergeCell ref="G12:H12"/>
    <mergeCell ref="A17:J17"/>
    <mergeCell ref="I18:J18"/>
    <mergeCell ref="A15:J15"/>
    <mergeCell ref="I16:J16"/>
    <mergeCell ref="A13:J13"/>
    <mergeCell ref="I14:J14"/>
    <mergeCell ref="A24:L24"/>
    <mergeCell ref="A26:L26"/>
    <mergeCell ref="A21:L21"/>
    <mergeCell ref="A22:L22"/>
    <mergeCell ref="A23:B23"/>
    <mergeCell ref="C23:D23"/>
    <mergeCell ref="E23:F23"/>
    <mergeCell ref="G23:H23"/>
    <mergeCell ref="I23:J23"/>
    <mergeCell ref="K23:L23"/>
    <mergeCell ref="I38:J38"/>
    <mergeCell ref="A28:L28"/>
    <mergeCell ref="A31:F31"/>
    <mergeCell ref="G31:H31"/>
    <mergeCell ref="I31:J32"/>
    <mergeCell ref="A32:B32"/>
    <mergeCell ref="C32:D32"/>
    <mergeCell ref="E32:F32"/>
    <mergeCell ref="G32:H32"/>
    <mergeCell ref="A33:J33"/>
    <mergeCell ref="I34:J34"/>
    <mergeCell ref="A35:J35"/>
    <mergeCell ref="I36:J36"/>
    <mergeCell ref="A37:J37"/>
    <mergeCell ref="A41:L41"/>
    <mergeCell ref="A42:L42"/>
    <mergeCell ref="A43:B43"/>
    <mergeCell ref="C43:D43"/>
    <mergeCell ref="E43:F43"/>
    <mergeCell ref="G43:H43"/>
    <mergeCell ref="I43:J43"/>
    <mergeCell ref="K43:L43"/>
    <mergeCell ref="A44:L44"/>
    <mergeCell ref="C45:D45"/>
    <mergeCell ref="G45:H45"/>
    <mergeCell ref="A48:L48"/>
    <mergeCell ref="C49:D49"/>
    <mergeCell ref="G49:H49"/>
    <mergeCell ref="A46:L46"/>
    <mergeCell ref="C47:D47"/>
    <mergeCell ref="G47:H47"/>
    <mergeCell ref="I45:J45"/>
    <mergeCell ref="I47:J47"/>
    <mergeCell ref="I49:J49"/>
    <mergeCell ref="E45:F45"/>
    <mergeCell ref="E47:F47"/>
    <mergeCell ref="E49:F49"/>
    <mergeCell ref="A45:B45"/>
    <mergeCell ref="A55:J55"/>
    <mergeCell ref="A53:F53"/>
    <mergeCell ref="G53:H53"/>
    <mergeCell ref="I53:J54"/>
    <mergeCell ref="A54:B54"/>
    <mergeCell ref="C54:D54"/>
    <mergeCell ref="E54:F54"/>
    <mergeCell ref="G54:H54"/>
    <mergeCell ref="A59:J59"/>
    <mergeCell ref="A61:J61"/>
    <mergeCell ref="A57:J57"/>
    <mergeCell ref="A58:B58"/>
    <mergeCell ref="C58:D58"/>
    <mergeCell ref="E58:F58"/>
  </mergeCells>
  <printOptions horizontalCentered="1"/>
  <pageMargins left="0.51181102362204722" right="0.51181102362204722" top="0.78740157480314965" bottom="0.78740157480314965" header="0.31496062992125984" footer="0.31496062992125984"/>
  <pageSetup paperSize="9" scale="83" fitToHeight="0" orientation="landscape" horizontalDpi="300" verticalDpi="300" r:id="rId1"/>
  <headerFooter>
    <oddHeader>&amp;C&amp;"Arial,Negrito"&amp;14&amp;UCÁLCULO DO VALOR MENSAL UNITÁRIO POR METRO QUADRADO (IN SEGES/MPDG nº 5/2017 - Anexo VI-B, item 3) CONSIDERANDO A PRODUTIVIDADE DOS SERVIÇOS DE LIMPEZA E CONSERVAÇÃO, POR ÁREA E O VALOR DO HOMEM-MÊS</oddHeader>
  </headerFooter>
  <rowBreaks count="2" manualBreakCount="2">
    <brk id="20" max="16383" man="1"/>
    <brk id="4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I49"/>
  <sheetViews>
    <sheetView workbookViewId="0">
      <selection activeCell="B11" sqref="B11"/>
    </sheetView>
  </sheetViews>
  <sheetFormatPr defaultRowHeight="14.25" x14ac:dyDescent="0.25"/>
  <cols>
    <col min="1" max="1" width="33.5703125" style="49" customWidth="1"/>
    <col min="2" max="9" width="13.7109375" style="49" customWidth="1"/>
    <col min="10" max="16384" width="9.140625" style="49"/>
  </cols>
  <sheetData>
    <row r="2" spans="1:9" ht="31.5" customHeight="1" x14ac:dyDescent="0.25">
      <c r="A2" s="449" t="s">
        <v>671</v>
      </c>
      <c r="B2" s="449"/>
      <c r="C2" s="449"/>
      <c r="D2" s="449"/>
      <c r="E2" s="449"/>
      <c r="F2" s="449"/>
      <c r="G2" s="449"/>
      <c r="H2" s="449"/>
      <c r="I2" s="449"/>
    </row>
    <row r="4" spans="1:9" ht="20.25" customHeight="1" x14ac:dyDescent="0.25">
      <c r="A4" s="448" t="s">
        <v>672</v>
      </c>
      <c r="B4" s="448"/>
      <c r="C4" s="448"/>
    </row>
    <row r="5" spans="1:9" ht="20.25" customHeight="1" x14ac:dyDescent="0.25">
      <c r="A5" s="448"/>
      <c r="B5" s="448"/>
      <c r="C5" s="448"/>
      <c r="D5" s="114" t="s">
        <v>673</v>
      </c>
    </row>
    <row r="6" spans="1:9" ht="20.25" customHeight="1" x14ac:dyDescent="0.25">
      <c r="A6" s="116" t="s">
        <v>674</v>
      </c>
      <c r="B6" s="116" t="s">
        <v>675</v>
      </c>
      <c r="C6" s="116" t="s">
        <v>676</v>
      </c>
      <c r="D6" s="116" t="s">
        <v>677</v>
      </c>
      <c r="E6" s="116" t="s">
        <v>678</v>
      </c>
      <c r="F6" s="116" t="s">
        <v>679</v>
      </c>
      <c r="G6" s="116" t="s">
        <v>680</v>
      </c>
      <c r="H6" s="116" t="s">
        <v>681</v>
      </c>
      <c r="I6" s="116" t="s">
        <v>682</v>
      </c>
    </row>
    <row r="7" spans="1:9" ht="20.25" customHeight="1" x14ac:dyDescent="0.25">
      <c r="A7" s="104">
        <v>1</v>
      </c>
      <c r="B7" s="111">
        <v>0.33333333333333331</v>
      </c>
      <c r="C7" s="111">
        <v>0.33333333333333331</v>
      </c>
      <c r="D7" s="111">
        <v>0.33333333333333331</v>
      </c>
      <c r="E7" s="111">
        <v>0.33333333333333331</v>
      </c>
      <c r="F7" s="111">
        <v>0.33333333333333331</v>
      </c>
      <c r="G7" s="111">
        <v>0.16666666666666666</v>
      </c>
      <c r="H7" s="111">
        <v>0.16666666666666666</v>
      </c>
      <c r="I7" s="113">
        <v>44</v>
      </c>
    </row>
    <row r="8" spans="1:9" ht="20.25" customHeight="1" x14ac:dyDescent="0.25">
      <c r="A8" s="104">
        <v>2</v>
      </c>
      <c r="B8" s="111">
        <v>0.33333333333333331</v>
      </c>
      <c r="C8" s="111">
        <v>0.33333333333333331</v>
      </c>
      <c r="D8" s="111">
        <v>0.33333333333333331</v>
      </c>
      <c r="E8" s="111">
        <v>0.33333333333333331</v>
      </c>
      <c r="F8" s="111">
        <v>0.33333333333333331</v>
      </c>
      <c r="G8" s="111">
        <v>0.16666666666666666</v>
      </c>
      <c r="H8" s="111">
        <v>0.16666666666666666</v>
      </c>
      <c r="I8" s="113">
        <v>44</v>
      </c>
    </row>
    <row r="9" spans="1:9" ht="20.25" customHeight="1" x14ac:dyDescent="0.25">
      <c r="A9" s="104">
        <v>3</v>
      </c>
      <c r="B9" s="111">
        <v>0.33333333333333331</v>
      </c>
      <c r="C9" s="111">
        <v>0.33333333333333331</v>
      </c>
      <c r="D9" s="111">
        <v>0.33333333333333331</v>
      </c>
      <c r="E9" s="111">
        <v>0.33333333333333331</v>
      </c>
      <c r="F9" s="111">
        <v>0.33333333333333331</v>
      </c>
      <c r="G9" s="111">
        <v>0.16666666666666666</v>
      </c>
      <c r="H9" s="111">
        <v>0.16666666666666666</v>
      </c>
      <c r="I9" s="113">
        <v>44</v>
      </c>
    </row>
    <row r="10" spans="1:9" ht="20.25" customHeight="1" x14ac:dyDescent="0.25">
      <c r="A10" s="104">
        <v>4</v>
      </c>
      <c r="B10" s="111">
        <v>0.33333333333333331</v>
      </c>
      <c r="C10" s="111">
        <v>0.33333333333333331</v>
      </c>
      <c r="D10" s="111">
        <v>0.33333333333333331</v>
      </c>
      <c r="E10" s="111">
        <v>0.33333333333333331</v>
      </c>
      <c r="F10" s="111">
        <v>0.33333333333333331</v>
      </c>
      <c r="G10" s="111">
        <v>0.16666666666666666</v>
      </c>
      <c r="H10" s="111">
        <v>0.16666666666666666</v>
      </c>
      <c r="I10" s="113">
        <v>44</v>
      </c>
    </row>
    <row r="11" spans="1:9" ht="20.25" customHeight="1" x14ac:dyDescent="0.25">
      <c r="A11" s="104">
        <v>5</v>
      </c>
      <c r="B11" s="111">
        <v>0.33333333333333331</v>
      </c>
      <c r="C11" s="111">
        <v>0.33333333333333331</v>
      </c>
      <c r="D11" s="112"/>
      <c r="E11" s="112"/>
      <c r="F11" s="112"/>
      <c r="G11" s="112"/>
      <c r="H11" s="112"/>
      <c r="I11" s="113">
        <v>16</v>
      </c>
    </row>
    <row r="12" spans="1:9" ht="30.75" customHeight="1" x14ac:dyDescent="0.25">
      <c r="A12" s="115" t="s">
        <v>683</v>
      </c>
      <c r="B12" s="116">
        <v>26</v>
      </c>
      <c r="G12" s="447" t="s">
        <v>684</v>
      </c>
      <c r="H12" s="447"/>
      <c r="I12" s="117">
        <f>SUM(I7:I11)</f>
        <v>192</v>
      </c>
    </row>
    <row r="14" spans="1:9" ht="30.75" customHeight="1" x14ac:dyDescent="0.25">
      <c r="A14" s="243" t="s">
        <v>685</v>
      </c>
      <c r="B14" s="243"/>
      <c r="C14" s="243"/>
      <c r="D14" s="243"/>
      <c r="E14" s="243"/>
      <c r="F14" s="243"/>
      <c r="G14" s="243"/>
      <c r="H14" s="243"/>
      <c r="I14" s="243"/>
    </row>
    <row r="17" spans="1:9" ht="20.25" customHeight="1" x14ac:dyDescent="0.25">
      <c r="A17" s="450" t="s">
        <v>686</v>
      </c>
      <c r="B17" s="450"/>
      <c r="C17" s="450"/>
    </row>
    <row r="18" spans="1:9" ht="20.25" customHeight="1" x14ac:dyDescent="0.25">
      <c r="A18" s="450"/>
      <c r="B18" s="450"/>
      <c r="C18" s="450"/>
      <c r="D18" s="114" t="s">
        <v>673</v>
      </c>
    </row>
    <row r="19" spans="1:9" ht="20.25" customHeight="1" x14ac:dyDescent="0.25">
      <c r="A19" s="118" t="s">
        <v>674</v>
      </c>
      <c r="B19" s="118" t="s">
        <v>675</v>
      </c>
      <c r="C19" s="118" t="s">
        <v>676</v>
      </c>
      <c r="D19" s="118" t="s">
        <v>677</v>
      </c>
      <c r="E19" s="118" t="s">
        <v>678</v>
      </c>
      <c r="F19" s="118" t="s">
        <v>679</v>
      </c>
      <c r="G19" s="118" t="s">
        <v>680</v>
      </c>
      <c r="H19" s="118" t="s">
        <v>681</v>
      </c>
      <c r="I19" s="118" t="s">
        <v>682</v>
      </c>
    </row>
    <row r="20" spans="1:9" ht="20.25" customHeight="1" x14ac:dyDescent="0.25">
      <c r="A20" s="104">
        <v>1</v>
      </c>
      <c r="B20" s="111">
        <v>0.33333333333333331</v>
      </c>
      <c r="C20" s="111">
        <v>0.33333333333333331</v>
      </c>
      <c r="D20" s="111">
        <v>0.33333333333333331</v>
      </c>
      <c r="E20" s="111">
        <v>0.33333333333333331</v>
      </c>
      <c r="F20" s="111">
        <v>0.33333333333333331</v>
      </c>
      <c r="G20" s="111">
        <v>0.16666666666666666</v>
      </c>
      <c r="H20" s="111">
        <v>0.16666666666666666</v>
      </c>
      <c r="I20" s="113">
        <v>44</v>
      </c>
    </row>
    <row r="21" spans="1:9" ht="20.25" customHeight="1" x14ac:dyDescent="0.25">
      <c r="A21" s="104">
        <v>2</v>
      </c>
      <c r="B21" s="111">
        <v>0.33333333333333331</v>
      </c>
      <c r="C21" s="111">
        <v>0.33333333333333331</v>
      </c>
      <c r="D21" s="111">
        <v>0.33333333333333331</v>
      </c>
      <c r="E21" s="111">
        <v>0.33333333333333331</v>
      </c>
      <c r="F21" s="111">
        <v>0.33333333333333331</v>
      </c>
      <c r="G21" s="111">
        <v>0.16666666666666666</v>
      </c>
      <c r="H21" s="111">
        <v>0.16666666666666666</v>
      </c>
      <c r="I21" s="113">
        <v>44</v>
      </c>
    </row>
    <row r="22" spans="1:9" ht="20.25" customHeight="1" x14ac:dyDescent="0.25">
      <c r="A22" s="104">
        <v>3</v>
      </c>
      <c r="B22" s="111">
        <v>0.33333333333333331</v>
      </c>
      <c r="C22" s="111">
        <v>0.33333333333333331</v>
      </c>
      <c r="D22" s="111">
        <v>0.33333333333333331</v>
      </c>
      <c r="E22" s="111">
        <v>0.33333333333333331</v>
      </c>
      <c r="F22" s="111">
        <v>0.33333333333333331</v>
      </c>
      <c r="G22" s="111">
        <v>0.16666666666666666</v>
      </c>
      <c r="H22" s="111">
        <v>0.16666666666666666</v>
      </c>
      <c r="I22" s="113">
        <v>44</v>
      </c>
    </row>
    <row r="23" spans="1:9" ht="20.25" customHeight="1" x14ac:dyDescent="0.25">
      <c r="A23" s="104">
        <v>4</v>
      </c>
      <c r="B23" s="111">
        <v>0.33333333333333331</v>
      </c>
      <c r="C23" s="111">
        <v>0.33333333333333331</v>
      </c>
      <c r="D23" s="111">
        <v>0.33333333333333331</v>
      </c>
      <c r="E23" s="111">
        <v>0.33333333333333331</v>
      </c>
      <c r="F23" s="111">
        <v>0.33333333333333331</v>
      </c>
      <c r="G23" s="111">
        <v>0.16666666666666666</v>
      </c>
      <c r="H23" s="111">
        <v>0.16666666666666666</v>
      </c>
      <c r="I23" s="113">
        <v>44</v>
      </c>
    </row>
    <row r="24" spans="1:9" ht="20.25" customHeight="1" x14ac:dyDescent="0.25">
      <c r="A24" s="104">
        <v>5</v>
      </c>
      <c r="B24" s="111">
        <v>0.33333333333333331</v>
      </c>
      <c r="C24" s="111">
        <v>0.33333333333333331</v>
      </c>
      <c r="D24" s="112"/>
      <c r="E24" s="112"/>
      <c r="F24" s="112"/>
      <c r="G24" s="112"/>
      <c r="H24" s="112"/>
      <c r="I24" s="113">
        <v>16</v>
      </c>
    </row>
    <row r="25" spans="1:9" ht="30.75" customHeight="1" x14ac:dyDescent="0.25">
      <c r="A25" s="119" t="s">
        <v>683</v>
      </c>
      <c r="B25" s="118">
        <v>26</v>
      </c>
      <c r="G25" s="446" t="s">
        <v>684</v>
      </c>
      <c r="H25" s="446"/>
      <c r="I25" s="120">
        <f>SUM(I20:I24)</f>
        <v>192</v>
      </c>
    </row>
    <row r="27" spans="1:9" ht="30.75" customHeight="1" x14ac:dyDescent="0.25">
      <c r="A27" s="243" t="s">
        <v>687</v>
      </c>
      <c r="B27" s="243"/>
      <c r="C27" s="243"/>
      <c r="D27" s="243"/>
      <c r="E27" s="243"/>
      <c r="F27" s="243"/>
      <c r="G27" s="243"/>
      <c r="H27" s="243"/>
      <c r="I27" s="243"/>
    </row>
    <row r="30" spans="1:9" ht="20.25" customHeight="1" x14ac:dyDescent="0.25">
      <c r="A30" s="448" t="s">
        <v>688</v>
      </c>
      <c r="B30" s="448"/>
      <c r="C30" s="448"/>
    </row>
    <row r="31" spans="1:9" ht="20.25" customHeight="1" x14ac:dyDescent="0.25">
      <c r="A31" s="448"/>
      <c r="B31" s="448"/>
      <c r="C31" s="448"/>
      <c r="D31" s="114" t="s">
        <v>673</v>
      </c>
    </row>
    <row r="32" spans="1:9" ht="20.25" customHeight="1" x14ac:dyDescent="0.25">
      <c r="A32" s="116" t="s">
        <v>674</v>
      </c>
      <c r="B32" s="116" t="s">
        <v>675</v>
      </c>
      <c r="C32" s="116" t="s">
        <v>676</v>
      </c>
      <c r="D32" s="116" t="s">
        <v>677</v>
      </c>
      <c r="E32" s="116" t="s">
        <v>678</v>
      </c>
      <c r="F32" s="116" t="s">
        <v>679</v>
      </c>
      <c r="G32" s="116" t="s">
        <v>680</v>
      </c>
      <c r="H32" s="116" t="s">
        <v>681</v>
      </c>
      <c r="I32" s="116" t="s">
        <v>682</v>
      </c>
    </row>
    <row r="33" spans="1:9" ht="20.25" customHeight="1" x14ac:dyDescent="0.25">
      <c r="A33" s="104">
        <v>1</v>
      </c>
      <c r="B33" s="111">
        <v>0.3666666666666667</v>
      </c>
      <c r="C33" s="111">
        <v>0.3666666666666667</v>
      </c>
      <c r="D33" s="111">
        <v>0.3666666666666667</v>
      </c>
      <c r="E33" s="111">
        <v>0.3666666666666667</v>
      </c>
      <c r="F33" s="111">
        <v>0.3666666666666667</v>
      </c>
      <c r="G33" s="121"/>
      <c r="H33" s="121"/>
      <c r="I33" s="113">
        <v>44</v>
      </c>
    </row>
    <row r="34" spans="1:9" ht="20.25" customHeight="1" x14ac:dyDescent="0.25">
      <c r="A34" s="104">
        <v>2</v>
      </c>
      <c r="B34" s="111">
        <v>0.3666666666666667</v>
      </c>
      <c r="C34" s="111">
        <v>0.3666666666666667</v>
      </c>
      <c r="D34" s="111">
        <v>0.3666666666666667</v>
      </c>
      <c r="E34" s="111">
        <v>0.3666666666666667</v>
      </c>
      <c r="F34" s="111">
        <v>0.3666666666666667</v>
      </c>
      <c r="G34" s="121"/>
      <c r="H34" s="121"/>
      <c r="I34" s="113">
        <v>44</v>
      </c>
    </row>
    <row r="35" spans="1:9" ht="20.25" customHeight="1" x14ac:dyDescent="0.25">
      <c r="A35" s="104">
        <v>3</v>
      </c>
      <c r="B35" s="111">
        <v>0.3666666666666667</v>
      </c>
      <c r="C35" s="111">
        <v>0.3666666666666667</v>
      </c>
      <c r="D35" s="111">
        <v>0.3666666666666667</v>
      </c>
      <c r="E35" s="111">
        <v>0.3666666666666667</v>
      </c>
      <c r="F35" s="111">
        <v>0.3666666666666667</v>
      </c>
      <c r="G35" s="121"/>
      <c r="H35" s="121"/>
      <c r="I35" s="113">
        <v>44</v>
      </c>
    </row>
    <row r="36" spans="1:9" ht="20.25" customHeight="1" x14ac:dyDescent="0.25">
      <c r="A36" s="104">
        <v>4</v>
      </c>
      <c r="B36" s="111">
        <v>0.3666666666666667</v>
      </c>
      <c r="C36" s="111">
        <v>0.3666666666666667</v>
      </c>
      <c r="D36" s="111">
        <v>0.3666666666666667</v>
      </c>
      <c r="E36" s="111">
        <v>0.3666666666666667</v>
      </c>
      <c r="F36" s="111">
        <v>0.3666666666666667</v>
      </c>
      <c r="G36" s="121"/>
      <c r="H36" s="121"/>
      <c r="I36" s="113">
        <v>44</v>
      </c>
    </row>
    <row r="37" spans="1:9" ht="20.25" customHeight="1" x14ac:dyDescent="0.25">
      <c r="A37" s="104">
        <v>5</v>
      </c>
      <c r="B37" s="111">
        <v>0.3666666666666667</v>
      </c>
      <c r="C37" s="111">
        <v>0.3666666666666667</v>
      </c>
      <c r="D37" s="112"/>
      <c r="E37" s="112"/>
      <c r="F37" s="112"/>
      <c r="G37" s="112"/>
      <c r="H37" s="112"/>
      <c r="I37" s="113">
        <v>17.600000000000001</v>
      </c>
    </row>
    <row r="38" spans="1:9" ht="30.75" customHeight="1" x14ac:dyDescent="0.25">
      <c r="A38" s="115" t="s">
        <v>683</v>
      </c>
      <c r="B38" s="116">
        <v>22</v>
      </c>
      <c r="G38" s="447" t="s">
        <v>684</v>
      </c>
      <c r="H38" s="447"/>
      <c r="I38" s="117">
        <f>SUM(I33:I37)</f>
        <v>193.6</v>
      </c>
    </row>
    <row r="41" spans="1:9" ht="20.25" customHeight="1" x14ac:dyDescent="0.25">
      <c r="A41" s="450" t="s">
        <v>689</v>
      </c>
      <c r="B41" s="450"/>
      <c r="C41" s="450"/>
    </row>
    <row r="42" spans="1:9" ht="20.25" customHeight="1" x14ac:dyDescent="0.25">
      <c r="A42" s="450"/>
      <c r="B42" s="450"/>
      <c r="C42" s="450"/>
      <c r="D42" s="114" t="s">
        <v>673</v>
      </c>
    </row>
    <row r="43" spans="1:9" ht="20.25" customHeight="1" x14ac:dyDescent="0.25">
      <c r="A43" s="118" t="s">
        <v>674</v>
      </c>
      <c r="B43" s="118" t="s">
        <v>675</v>
      </c>
      <c r="C43" s="118" t="s">
        <v>676</v>
      </c>
      <c r="D43" s="118" t="s">
        <v>677</v>
      </c>
      <c r="E43" s="118" t="s">
        <v>678</v>
      </c>
      <c r="F43" s="118" t="s">
        <v>679</v>
      </c>
      <c r="G43" s="118" t="s">
        <v>680</v>
      </c>
      <c r="H43" s="118" t="s">
        <v>681</v>
      </c>
      <c r="I43" s="118" t="s">
        <v>682</v>
      </c>
    </row>
    <row r="44" spans="1:9" ht="20.25" customHeight="1" x14ac:dyDescent="0.25">
      <c r="A44" s="104">
        <v>1</v>
      </c>
      <c r="B44" s="111">
        <v>0.3666666666666667</v>
      </c>
      <c r="C44" s="111">
        <v>0.3666666666666667</v>
      </c>
      <c r="D44" s="111">
        <v>0.3666666666666667</v>
      </c>
      <c r="E44" s="111">
        <v>0.3666666666666667</v>
      </c>
      <c r="F44" s="111">
        <v>0.3666666666666667</v>
      </c>
      <c r="G44" s="121"/>
      <c r="H44" s="121"/>
      <c r="I44" s="113">
        <v>44</v>
      </c>
    </row>
    <row r="45" spans="1:9" ht="20.25" customHeight="1" x14ac:dyDescent="0.25">
      <c r="A45" s="104">
        <v>2</v>
      </c>
      <c r="B45" s="111">
        <v>0.3666666666666667</v>
      </c>
      <c r="C45" s="111">
        <v>0.3666666666666667</v>
      </c>
      <c r="D45" s="111">
        <v>0.3666666666666667</v>
      </c>
      <c r="E45" s="111">
        <v>0.3666666666666667</v>
      </c>
      <c r="F45" s="111">
        <v>0.3666666666666667</v>
      </c>
      <c r="G45" s="121"/>
      <c r="H45" s="121"/>
      <c r="I45" s="113">
        <v>44</v>
      </c>
    </row>
    <row r="46" spans="1:9" ht="20.25" customHeight="1" x14ac:dyDescent="0.25">
      <c r="A46" s="104">
        <v>3</v>
      </c>
      <c r="B46" s="111">
        <v>0.3666666666666667</v>
      </c>
      <c r="C46" s="111">
        <v>0.3666666666666667</v>
      </c>
      <c r="D46" s="111">
        <v>0.3666666666666667</v>
      </c>
      <c r="E46" s="111">
        <v>0.3666666666666667</v>
      </c>
      <c r="F46" s="111">
        <v>0.3666666666666667</v>
      </c>
      <c r="G46" s="121"/>
      <c r="H46" s="121"/>
      <c r="I46" s="113">
        <v>44</v>
      </c>
    </row>
    <row r="47" spans="1:9" ht="20.25" customHeight="1" x14ac:dyDescent="0.25">
      <c r="A47" s="104">
        <v>4</v>
      </c>
      <c r="B47" s="111">
        <v>0.3666666666666667</v>
      </c>
      <c r="C47" s="111">
        <v>0.3666666666666667</v>
      </c>
      <c r="D47" s="111">
        <v>0.3666666666666667</v>
      </c>
      <c r="E47" s="111">
        <v>0.3666666666666667</v>
      </c>
      <c r="F47" s="111">
        <v>0.3666666666666667</v>
      </c>
      <c r="G47" s="121"/>
      <c r="H47" s="121"/>
      <c r="I47" s="113">
        <v>44</v>
      </c>
    </row>
    <row r="48" spans="1:9" ht="20.25" customHeight="1" x14ac:dyDescent="0.25">
      <c r="A48" s="104">
        <v>5</v>
      </c>
      <c r="B48" s="111">
        <v>0.3666666666666667</v>
      </c>
      <c r="C48" s="111">
        <v>0.3666666666666667</v>
      </c>
      <c r="D48" s="112"/>
      <c r="E48" s="112"/>
      <c r="F48" s="112"/>
      <c r="G48" s="112"/>
      <c r="H48" s="112"/>
      <c r="I48" s="113">
        <v>17.600000000000001</v>
      </c>
    </row>
    <row r="49" spans="1:9" ht="30" x14ac:dyDescent="0.25">
      <c r="A49" s="119" t="s">
        <v>683</v>
      </c>
      <c r="B49" s="118">
        <v>22</v>
      </c>
      <c r="G49" s="446" t="s">
        <v>684</v>
      </c>
      <c r="H49" s="446"/>
      <c r="I49" s="120">
        <f>SUM(I44:I48)</f>
        <v>193.6</v>
      </c>
    </row>
  </sheetData>
  <mergeCells count="11">
    <mergeCell ref="G49:H49"/>
    <mergeCell ref="G12:H12"/>
    <mergeCell ref="A14:I14"/>
    <mergeCell ref="A4:C5"/>
    <mergeCell ref="A2:I2"/>
    <mergeCell ref="A17:C18"/>
    <mergeCell ref="G25:H25"/>
    <mergeCell ref="A27:I27"/>
    <mergeCell ref="A30:C31"/>
    <mergeCell ref="G38:H38"/>
    <mergeCell ref="A41:C42"/>
  </mergeCells>
  <printOptions horizontalCentered="1"/>
  <pageMargins left="0.51181102362204722" right="0.51181102362204722" top="0.78740157480314965" bottom="0.78740157480314965" header="0.31496062992125984" footer="0.31496062992125984"/>
  <pageSetup paperSize="9" scale="64" fitToHeight="0" orientation="portrait" horizontalDpi="300" verticalDpi="300" r:id="rId1"/>
  <headerFooter>
    <oddHeader>&amp;C&amp;"Arial,Negrito"&amp;14&amp;UCÁLCULO DE DIAS EFETIVAMENTE TRABALHADOS PARA ESTIMATIVA DOS VALORES DE TRANSPOSTE E ALIMENTAÇÃO</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22"/>
  <sheetViews>
    <sheetView workbookViewId="0">
      <selection activeCell="I19" sqref="I19"/>
    </sheetView>
  </sheetViews>
  <sheetFormatPr defaultRowHeight="14.25" x14ac:dyDescent="0.25"/>
  <cols>
    <col min="1" max="1" width="4.7109375" style="1" customWidth="1"/>
    <col min="2" max="2" width="19.7109375" style="49" customWidth="1"/>
    <col min="3" max="11" width="10.7109375" style="49" customWidth="1"/>
    <col min="12" max="16384" width="9.140625" style="49"/>
  </cols>
  <sheetData>
    <row r="1" spans="1:11" ht="15" x14ac:dyDescent="0.25">
      <c r="A1" s="454" t="s">
        <v>690</v>
      </c>
      <c r="B1" s="454"/>
      <c r="C1" s="454"/>
      <c r="D1" s="454"/>
      <c r="E1" s="454"/>
      <c r="F1" s="454"/>
      <c r="G1" s="454"/>
      <c r="H1" s="454"/>
      <c r="I1" s="454"/>
      <c r="J1" s="454"/>
      <c r="K1" s="454"/>
    </row>
    <row r="2" spans="1:11" ht="12.75" customHeight="1" x14ac:dyDescent="0.25"/>
    <row r="3" spans="1:11" ht="15" x14ac:dyDescent="0.25">
      <c r="A3" s="455" t="s">
        <v>691</v>
      </c>
      <c r="B3" s="455"/>
      <c r="C3" s="455"/>
      <c r="D3" s="455"/>
      <c r="E3" s="455"/>
      <c r="F3" s="455"/>
      <c r="G3" s="455"/>
      <c r="H3" s="455"/>
      <c r="I3" s="455"/>
      <c r="J3" s="455"/>
      <c r="K3" s="455"/>
    </row>
    <row r="4" spans="1:11" ht="15" x14ac:dyDescent="0.25">
      <c r="A4" s="455" t="s">
        <v>692</v>
      </c>
      <c r="B4" s="455"/>
      <c r="C4" s="455"/>
      <c r="D4" s="455"/>
      <c r="E4" s="455"/>
      <c r="F4" s="455"/>
      <c r="G4" s="455"/>
      <c r="H4" s="455"/>
      <c r="I4" s="455"/>
      <c r="J4" s="455"/>
      <c r="K4" s="455"/>
    </row>
    <row r="5" spans="1:11" ht="12.75" customHeight="1" x14ac:dyDescent="0.25"/>
    <row r="6" spans="1:11" ht="30" customHeight="1" x14ac:dyDescent="0.25">
      <c r="A6" s="2" t="s">
        <v>693</v>
      </c>
      <c r="B6" s="452" t="s">
        <v>694</v>
      </c>
      <c r="C6" s="452"/>
      <c r="D6" s="452"/>
      <c r="E6" s="452"/>
      <c r="F6" s="452"/>
      <c r="G6" s="452"/>
      <c r="H6" s="452"/>
      <c r="I6" s="452"/>
      <c r="J6" s="452"/>
      <c r="K6" s="452"/>
    </row>
    <row r="7" spans="1:11" ht="15" x14ac:dyDescent="0.25">
      <c r="A7" s="453" t="s">
        <v>695</v>
      </c>
      <c r="B7" s="453"/>
      <c r="C7" s="245"/>
      <c r="D7" s="245"/>
    </row>
    <row r="8" spans="1:11" ht="15" x14ac:dyDescent="0.25">
      <c r="A8" s="405" t="s">
        <v>696</v>
      </c>
      <c r="B8" s="405"/>
      <c r="C8" s="405" t="s">
        <v>697</v>
      </c>
      <c r="D8" s="405"/>
      <c r="E8" s="405"/>
      <c r="F8" s="405"/>
      <c r="G8" s="405"/>
      <c r="H8" s="405"/>
      <c r="I8" s="405"/>
      <c r="J8" s="405"/>
      <c r="K8" s="405"/>
    </row>
    <row r="9" spans="1:11" x14ac:dyDescent="0.25">
      <c r="A9" s="245"/>
      <c r="B9" s="245"/>
      <c r="C9" s="245"/>
      <c r="D9" s="245"/>
      <c r="E9" s="245"/>
      <c r="F9" s="245"/>
      <c r="G9" s="245"/>
      <c r="H9" s="245"/>
      <c r="I9" s="245"/>
      <c r="J9" s="245"/>
      <c r="K9" s="245"/>
    </row>
    <row r="10" spans="1:11" x14ac:dyDescent="0.25">
      <c r="A10" s="245"/>
      <c r="B10" s="245"/>
      <c r="C10" s="245"/>
      <c r="D10" s="245"/>
      <c r="E10" s="245"/>
      <c r="F10" s="245"/>
      <c r="G10" s="245"/>
      <c r="H10" s="245"/>
      <c r="I10" s="245"/>
      <c r="J10" s="245"/>
      <c r="K10" s="245"/>
    </row>
    <row r="11" spans="1:11" ht="12" customHeight="1" x14ac:dyDescent="0.25"/>
    <row r="12" spans="1:11" ht="30" customHeight="1" x14ac:dyDescent="0.25">
      <c r="A12" s="2" t="s">
        <v>698</v>
      </c>
      <c r="B12" s="452" t="s">
        <v>699</v>
      </c>
      <c r="C12" s="452"/>
      <c r="D12" s="452"/>
      <c r="E12" s="452"/>
      <c r="F12" s="452"/>
      <c r="G12" s="452"/>
      <c r="H12" s="452"/>
      <c r="I12" s="452"/>
      <c r="J12" s="452"/>
      <c r="K12" s="452"/>
    </row>
    <row r="13" spans="1:11" ht="15" x14ac:dyDescent="0.25">
      <c r="A13" s="453" t="s">
        <v>695</v>
      </c>
      <c r="B13" s="453"/>
      <c r="C13" s="245"/>
      <c r="D13" s="245"/>
    </row>
    <row r="14" spans="1:11" ht="15" x14ac:dyDescent="0.25">
      <c r="A14" s="405" t="s">
        <v>696</v>
      </c>
      <c r="B14" s="405"/>
      <c r="C14" s="405" t="s">
        <v>697</v>
      </c>
      <c r="D14" s="405"/>
      <c r="E14" s="405"/>
      <c r="F14" s="405"/>
      <c r="G14" s="405"/>
      <c r="H14" s="405"/>
      <c r="I14" s="405"/>
      <c r="J14" s="405"/>
      <c r="K14" s="405"/>
    </row>
    <row r="15" spans="1:11" x14ac:dyDescent="0.25">
      <c r="A15" s="245"/>
      <c r="B15" s="245"/>
      <c r="C15" s="245"/>
      <c r="D15" s="245"/>
      <c r="E15" s="245"/>
      <c r="F15" s="245"/>
      <c r="G15" s="245"/>
      <c r="H15" s="245"/>
      <c r="I15" s="245"/>
      <c r="J15" s="245"/>
      <c r="K15" s="245"/>
    </row>
    <row r="16" spans="1:11" x14ac:dyDescent="0.25">
      <c r="A16" s="245"/>
      <c r="B16" s="245"/>
      <c r="C16" s="245"/>
      <c r="D16" s="245"/>
      <c r="E16" s="245"/>
      <c r="F16" s="245"/>
      <c r="G16" s="245"/>
      <c r="H16" s="245"/>
      <c r="I16" s="245"/>
      <c r="J16" s="245"/>
      <c r="K16" s="245"/>
    </row>
    <row r="17" spans="1:11" ht="12" customHeight="1" x14ac:dyDescent="0.25"/>
    <row r="18" spans="1:11" ht="15" x14ac:dyDescent="0.25">
      <c r="A18" s="2" t="s">
        <v>700</v>
      </c>
      <c r="B18" s="452" t="s">
        <v>701</v>
      </c>
      <c r="C18" s="452"/>
      <c r="D18" s="452"/>
      <c r="E18" s="452"/>
      <c r="F18" s="452"/>
      <c r="G18" s="452"/>
      <c r="H18" s="452"/>
      <c r="I18" s="452"/>
      <c r="J18" s="452"/>
      <c r="K18" s="452"/>
    </row>
    <row r="19" spans="1:11" ht="15" x14ac:dyDescent="0.25">
      <c r="A19" s="453" t="s">
        <v>695</v>
      </c>
      <c r="B19" s="453"/>
      <c r="C19" s="245"/>
      <c r="D19" s="245"/>
    </row>
    <row r="20" spans="1:11" ht="15" x14ac:dyDescent="0.25">
      <c r="A20" s="405" t="s">
        <v>696</v>
      </c>
      <c r="B20" s="405"/>
      <c r="C20" s="405" t="s">
        <v>697</v>
      </c>
      <c r="D20" s="405"/>
      <c r="E20" s="405"/>
      <c r="F20" s="405"/>
      <c r="G20" s="405"/>
      <c r="H20" s="405"/>
      <c r="I20" s="405"/>
      <c r="J20" s="405"/>
      <c r="K20" s="405"/>
    </row>
    <row r="21" spans="1:11" x14ac:dyDescent="0.25">
      <c r="A21" s="245"/>
      <c r="B21" s="245"/>
      <c r="C21" s="245"/>
      <c r="D21" s="245"/>
      <c r="E21" s="245"/>
      <c r="F21" s="245"/>
      <c r="G21" s="245"/>
      <c r="H21" s="245"/>
      <c r="I21" s="245"/>
      <c r="J21" s="245"/>
      <c r="K21" s="245"/>
    </row>
    <row r="22" spans="1:11" x14ac:dyDescent="0.25">
      <c r="A22" s="245"/>
      <c r="B22" s="245"/>
      <c r="C22" s="245"/>
      <c r="D22" s="245"/>
      <c r="E22" s="245"/>
      <c r="F22" s="245"/>
      <c r="G22" s="245"/>
      <c r="H22" s="245"/>
      <c r="I22" s="245"/>
      <c r="J22" s="245"/>
      <c r="K22" s="245"/>
    </row>
    <row r="23" spans="1:11" ht="12" customHeight="1" x14ac:dyDescent="0.25"/>
    <row r="24" spans="1:11" ht="30" customHeight="1" x14ac:dyDescent="0.25">
      <c r="A24" s="2" t="s">
        <v>702</v>
      </c>
      <c r="B24" s="452" t="s">
        <v>703</v>
      </c>
      <c r="C24" s="452"/>
      <c r="D24" s="452"/>
      <c r="E24" s="452"/>
      <c r="F24" s="452"/>
      <c r="G24" s="452"/>
      <c r="H24" s="452"/>
      <c r="I24" s="452"/>
      <c r="J24" s="452"/>
      <c r="K24" s="452"/>
    </row>
    <row r="25" spans="1:11" ht="15" x14ac:dyDescent="0.25">
      <c r="A25" s="453" t="s">
        <v>695</v>
      </c>
      <c r="B25" s="453"/>
      <c r="C25" s="245"/>
      <c r="D25" s="245"/>
    </row>
    <row r="26" spans="1:11" ht="15" x14ac:dyDescent="0.25">
      <c r="A26" s="405" t="s">
        <v>696</v>
      </c>
      <c r="B26" s="405"/>
      <c r="C26" s="405" t="s">
        <v>697</v>
      </c>
      <c r="D26" s="405"/>
      <c r="E26" s="405"/>
      <c r="F26" s="405"/>
      <c r="G26" s="405"/>
      <c r="H26" s="405"/>
      <c r="I26" s="405"/>
      <c r="J26" s="405"/>
      <c r="K26" s="405"/>
    </row>
    <row r="27" spans="1:11" x14ac:dyDescent="0.25">
      <c r="A27" s="245"/>
      <c r="B27" s="245"/>
      <c r="C27" s="245"/>
      <c r="D27" s="245"/>
      <c r="E27" s="245"/>
      <c r="F27" s="245"/>
      <c r="G27" s="245"/>
      <c r="H27" s="245"/>
      <c r="I27" s="245"/>
      <c r="J27" s="245"/>
      <c r="K27" s="245"/>
    </row>
    <row r="28" spans="1:11" x14ac:dyDescent="0.25">
      <c r="A28" s="245"/>
      <c r="B28" s="245"/>
      <c r="C28" s="245"/>
      <c r="D28" s="245"/>
      <c r="E28" s="245"/>
      <c r="F28" s="245"/>
      <c r="G28" s="245"/>
      <c r="H28" s="245"/>
      <c r="I28" s="245"/>
      <c r="J28" s="245"/>
      <c r="K28" s="245"/>
    </row>
    <row r="29" spans="1:11" ht="12" customHeight="1" x14ac:dyDescent="0.25">
      <c r="B29" s="1"/>
      <c r="C29" s="1"/>
      <c r="D29" s="1"/>
      <c r="E29" s="1"/>
      <c r="F29" s="1"/>
      <c r="G29" s="1"/>
      <c r="H29" s="1"/>
      <c r="I29" s="1"/>
      <c r="J29" s="1"/>
      <c r="K29" s="1"/>
    </row>
    <row r="30" spans="1:11" ht="15" x14ac:dyDescent="0.25">
      <c r="A30" s="2" t="s">
        <v>704</v>
      </c>
      <c r="B30" s="452" t="s">
        <v>705</v>
      </c>
      <c r="C30" s="452"/>
      <c r="D30" s="452"/>
      <c r="E30" s="452"/>
      <c r="F30" s="452"/>
      <c r="G30" s="452"/>
      <c r="H30" s="452"/>
      <c r="I30" s="452"/>
      <c r="J30" s="452"/>
      <c r="K30" s="452"/>
    </row>
    <row r="31" spans="1:11" ht="15" x14ac:dyDescent="0.25">
      <c r="A31" s="453" t="s">
        <v>695</v>
      </c>
      <c r="B31" s="453"/>
      <c r="C31" s="245"/>
      <c r="D31" s="245"/>
    </row>
    <row r="32" spans="1:11" ht="15" x14ac:dyDescent="0.25">
      <c r="A32" s="405" t="s">
        <v>696</v>
      </c>
      <c r="B32" s="405"/>
      <c r="C32" s="405" t="s">
        <v>697</v>
      </c>
      <c r="D32" s="405"/>
      <c r="E32" s="405"/>
      <c r="F32" s="405"/>
      <c r="G32" s="405"/>
      <c r="H32" s="405"/>
      <c r="I32" s="405"/>
      <c r="J32" s="405"/>
      <c r="K32" s="405"/>
    </row>
    <row r="33" spans="1:11" x14ac:dyDescent="0.25">
      <c r="A33" s="245"/>
      <c r="B33" s="245"/>
      <c r="C33" s="245"/>
      <c r="D33" s="245"/>
      <c r="E33" s="245"/>
      <c r="F33" s="245"/>
      <c r="G33" s="245"/>
      <c r="H33" s="245"/>
      <c r="I33" s="245"/>
      <c r="J33" s="245"/>
      <c r="K33" s="245"/>
    </row>
    <row r="34" spans="1:11" x14ac:dyDescent="0.25">
      <c r="A34" s="245"/>
      <c r="B34" s="245"/>
      <c r="C34" s="245"/>
      <c r="D34" s="245"/>
      <c r="E34" s="245"/>
      <c r="F34" s="245"/>
      <c r="G34" s="245"/>
      <c r="H34" s="245"/>
      <c r="I34" s="245"/>
      <c r="J34" s="245"/>
      <c r="K34" s="245"/>
    </row>
    <row r="35" spans="1:11" ht="12" customHeight="1" x14ac:dyDescent="0.25">
      <c r="B35" s="1"/>
      <c r="C35" s="1"/>
      <c r="D35" s="1"/>
      <c r="E35" s="1"/>
      <c r="F35" s="1"/>
      <c r="G35" s="1"/>
      <c r="H35" s="1"/>
      <c r="I35" s="1"/>
      <c r="J35" s="1"/>
      <c r="K35" s="1"/>
    </row>
    <row r="36" spans="1:11" ht="15" x14ac:dyDescent="0.25">
      <c r="A36" s="2" t="s">
        <v>706</v>
      </c>
      <c r="B36" s="452" t="s">
        <v>707</v>
      </c>
      <c r="C36" s="452"/>
      <c r="D36" s="452"/>
      <c r="E36" s="452"/>
      <c r="F36" s="452"/>
      <c r="G36" s="452"/>
      <c r="H36" s="452"/>
      <c r="I36" s="452"/>
      <c r="J36" s="452"/>
      <c r="K36" s="452"/>
    </row>
    <row r="37" spans="1:11" ht="15" x14ac:dyDescent="0.25">
      <c r="A37" s="453" t="s">
        <v>695</v>
      </c>
      <c r="B37" s="453"/>
      <c r="C37" s="245"/>
      <c r="D37" s="245"/>
    </row>
    <row r="38" spans="1:11" ht="15" x14ac:dyDescent="0.25">
      <c r="A38" s="405" t="s">
        <v>696</v>
      </c>
      <c r="B38" s="405"/>
      <c r="C38" s="405" t="s">
        <v>697</v>
      </c>
      <c r="D38" s="405"/>
      <c r="E38" s="405"/>
      <c r="F38" s="405"/>
      <c r="G38" s="405"/>
      <c r="H38" s="405"/>
      <c r="I38" s="405"/>
      <c r="J38" s="405"/>
      <c r="K38" s="405"/>
    </row>
    <row r="39" spans="1:11" x14ac:dyDescent="0.25">
      <c r="A39" s="245"/>
      <c r="B39" s="245"/>
      <c r="C39" s="245"/>
      <c r="D39" s="245"/>
      <c r="E39" s="245"/>
      <c r="F39" s="245"/>
      <c r="G39" s="245"/>
      <c r="H39" s="245"/>
      <c r="I39" s="245"/>
      <c r="J39" s="245"/>
      <c r="K39" s="245"/>
    </row>
    <row r="40" spans="1:11" x14ac:dyDescent="0.25">
      <c r="A40" s="245"/>
      <c r="B40" s="245"/>
      <c r="C40" s="245"/>
      <c r="D40" s="245"/>
      <c r="E40" s="245"/>
      <c r="F40" s="245"/>
      <c r="G40" s="245"/>
      <c r="H40" s="245"/>
      <c r="I40" s="245"/>
      <c r="J40" s="245"/>
      <c r="K40" s="245"/>
    </row>
    <row r="41" spans="1:11" ht="12" customHeight="1" x14ac:dyDescent="0.25">
      <c r="B41" s="1"/>
      <c r="C41" s="1"/>
      <c r="D41" s="1"/>
      <c r="E41" s="1"/>
      <c r="F41" s="1"/>
      <c r="G41" s="1"/>
      <c r="H41" s="1"/>
      <c r="I41" s="1"/>
      <c r="J41" s="1"/>
      <c r="K41" s="1"/>
    </row>
    <row r="42" spans="1:11" ht="15" x14ac:dyDescent="0.25">
      <c r="A42" s="2" t="s">
        <v>708</v>
      </c>
      <c r="B42" s="452" t="s">
        <v>709</v>
      </c>
      <c r="C42" s="452"/>
      <c r="D42" s="452"/>
      <c r="E42" s="452"/>
      <c r="F42" s="452"/>
      <c r="G42" s="452"/>
      <c r="H42" s="452"/>
      <c r="I42" s="452"/>
      <c r="J42" s="452"/>
      <c r="K42" s="452"/>
    </row>
    <row r="43" spans="1:11" ht="15" x14ac:dyDescent="0.25">
      <c r="A43" s="453" t="s">
        <v>695</v>
      </c>
      <c r="B43" s="453"/>
      <c r="C43" s="245"/>
      <c r="D43" s="245"/>
    </row>
    <row r="44" spans="1:11" ht="15" x14ac:dyDescent="0.25">
      <c r="A44" s="405" t="s">
        <v>696</v>
      </c>
      <c r="B44" s="405"/>
      <c r="C44" s="405" t="s">
        <v>697</v>
      </c>
      <c r="D44" s="405"/>
      <c r="E44" s="405"/>
      <c r="F44" s="405"/>
      <c r="G44" s="405"/>
      <c r="H44" s="405"/>
      <c r="I44" s="405"/>
      <c r="J44" s="405"/>
      <c r="K44" s="405"/>
    </row>
    <row r="45" spans="1:11" x14ac:dyDescent="0.25">
      <c r="A45" s="245"/>
      <c r="B45" s="245"/>
      <c r="C45" s="245"/>
      <c r="D45" s="245"/>
      <c r="E45" s="245"/>
      <c r="F45" s="245"/>
      <c r="G45" s="245"/>
      <c r="H45" s="245"/>
      <c r="I45" s="245"/>
      <c r="J45" s="245"/>
      <c r="K45" s="245"/>
    </row>
    <row r="46" spans="1:11" x14ac:dyDescent="0.25">
      <c r="A46" s="245"/>
      <c r="B46" s="245"/>
      <c r="C46" s="245"/>
      <c r="D46" s="245"/>
      <c r="E46" s="245"/>
      <c r="F46" s="245"/>
      <c r="G46" s="245"/>
      <c r="H46" s="245"/>
      <c r="I46" s="245"/>
      <c r="J46" s="245"/>
      <c r="K46" s="245"/>
    </row>
    <row r="47" spans="1:11" ht="12" customHeight="1" x14ac:dyDescent="0.25">
      <c r="B47" s="1"/>
      <c r="C47" s="1"/>
      <c r="D47" s="1"/>
      <c r="E47" s="1"/>
      <c r="F47" s="1"/>
      <c r="G47" s="1"/>
      <c r="H47" s="1"/>
      <c r="I47" s="1"/>
      <c r="J47" s="1"/>
      <c r="K47" s="1"/>
    </row>
    <row r="48" spans="1:11" ht="15" x14ac:dyDescent="0.25">
      <c r="A48" s="2" t="s">
        <v>710</v>
      </c>
      <c r="B48" s="452" t="s">
        <v>711</v>
      </c>
      <c r="C48" s="452"/>
      <c r="D48" s="452"/>
      <c r="E48" s="452"/>
      <c r="F48" s="452"/>
      <c r="G48" s="452"/>
      <c r="H48" s="452"/>
      <c r="I48" s="452"/>
      <c r="J48" s="452"/>
      <c r="K48" s="452"/>
    </row>
    <row r="49" spans="1:11" ht="15" x14ac:dyDescent="0.25">
      <c r="A49" s="453" t="s">
        <v>695</v>
      </c>
      <c r="B49" s="453"/>
      <c r="C49" s="245"/>
      <c r="D49" s="245"/>
    </row>
    <row r="50" spans="1:11" ht="15" x14ac:dyDescent="0.25">
      <c r="A50" s="405" t="s">
        <v>696</v>
      </c>
      <c r="B50" s="405"/>
      <c r="C50" s="405" t="s">
        <v>697</v>
      </c>
      <c r="D50" s="405"/>
      <c r="E50" s="405"/>
      <c r="F50" s="405"/>
      <c r="G50" s="405"/>
      <c r="H50" s="405"/>
      <c r="I50" s="405"/>
      <c r="J50" s="405"/>
      <c r="K50" s="405"/>
    </row>
    <row r="51" spans="1:11" x14ac:dyDescent="0.25">
      <c r="A51" s="245"/>
      <c r="B51" s="245"/>
      <c r="C51" s="245"/>
      <c r="D51" s="245"/>
      <c r="E51" s="245"/>
      <c r="F51" s="245"/>
      <c r="G51" s="245"/>
      <c r="H51" s="245"/>
      <c r="I51" s="245"/>
      <c r="J51" s="245"/>
      <c r="K51" s="245"/>
    </row>
    <row r="52" spans="1:11" x14ac:dyDescent="0.25">
      <c r="A52" s="245"/>
      <c r="B52" s="245"/>
      <c r="C52" s="245"/>
      <c r="D52" s="245"/>
      <c r="E52" s="245"/>
      <c r="F52" s="245"/>
      <c r="G52" s="245"/>
      <c r="H52" s="245"/>
      <c r="I52" s="245"/>
      <c r="J52" s="245"/>
      <c r="K52" s="245"/>
    </row>
    <row r="53" spans="1:11" ht="12" customHeight="1" x14ac:dyDescent="0.25">
      <c r="B53" s="1"/>
      <c r="C53" s="1"/>
      <c r="D53" s="1"/>
      <c r="E53" s="1"/>
      <c r="F53" s="1"/>
      <c r="G53" s="1"/>
      <c r="H53" s="1"/>
      <c r="I53" s="1"/>
      <c r="J53" s="1"/>
      <c r="K53" s="1"/>
    </row>
    <row r="54" spans="1:11" ht="15" x14ac:dyDescent="0.25">
      <c r="A54" s="2" t="s">
        <v>712</v>
      </c>
      <c r="B54" s="452" t="s">
        <v>713</v>
      </c>
      <c r="C54" s="452"/>
      <c r="D54" s="452"/>
      <c r="E54" s="452"/>
      <c r="F54" s="452"/>
      <c r="G54" s="452"/>
      <c r="H54" s="452"/>
      <c r="I54" s="452"/>
      <c r="J54" s="452"/>
      <c r="K54" s="452"/>
    </row>
    <row r="55" spans="1:11" ht="15" x14ac:dyDescent="0.25">
      <c r="A55" s="453" t="s">
        <v>695</v>
      </c>
      <c r="B55" s="453"/>
      <c r="C55" s="245"/>
      <c r="D55" s="245"/>
    </row>
    <row r="56" spans="1:11" ht="15" x14ac:dyDescent="0.25">
      <c r="A56" s="405" t="s">
        <v>696</v>
      </c>
      <c r="B56" s="405"/>
      <c r="C56" s="405" t="s">
        <v>697</v>
      </c>
      <c r="D56" s="405"/>
      <c r="E56" s="405"/>
      <c r="F56" s="405"/>
      <c r="G56" s="405"/>
      <c r="H56" s="405"/>
      <c r="I56" s="405"/>
      <c r="J56" s="405"/>
      <c r="K56" s="405"/>
    </row>
    <row r="57" spans="1:11" x14ac:dyDescent="0.25">
      <c r="A57" s="245"/>
      <c r="B57" s="245"/>
      <c r="C57" s="245"/>
      <c r="D57" s="245"/>
      <c r="E57" s="245"/>
      <c r="F57" s="245"/>
      <c r="G57" s="245"/>
      <c r="H57" s="245"/>
      <c r="I57" s="245"/>
      <c r="J57" s="245"/>
      <c r="K57" s="245"/>
    </row>
    <row r="58" spans="1:11" x14ac:dyDescent="0.25">
      <c r="A58" s="245"/>
      <c r="B58" s="245"/>
      <c r="C58" s="245"/>
      <c r="D58" s="245"/>
      <c r="E58" s="245"/>
      <c r="F58" s="245"/>
      <c r="G58" s="245"/>
      <c r="H58" s="245"/>
      <c r="I58" s="245"/>
      <c r="J58" s="245"/>
      <c r="K58" s="245"/>
    </row>
    <row r="59" spans="1:11" ht="12" customHeight="1" x14ac:dyDescent="0.25">
      <c r="B59" s="1"/>
      <c r="C59" s="1"/>
      <c r="D59" s="1"/>
      <c r="E59" s="1"/>
      <c r="F59" s="1"/>
      <c r="G59" s="1"/>
      <c r="H59" s="1"/>
      <c r="I59" s="1"/>
      <c r="J59" s="1"/>
      <c r="K59" s="1"/>
    </row>
    <row r="60" spans="1:11" ht="15" x14ac:dyDescent="0.25">
      <c r="A60" s="2" t="s">
        <v>714</v>
      </c>
      <c r="B60" s="452" t="s">
        <v>715</v>
      </c>
      <c r="C60" s="452"/>
      <c r="D60" s="452"/>
      <c r="E60" s="452"/>
      <c r="F60" s="452"/>
      <c r="G60" s="452"/>
      <c r="H60" s="452"/>
      <c r="I60" s="452"/>
      <c r="J60" s="452"/>
      <c r="K60" s="452"/>
    </row>
    <row r="61" spans="1:11" ht="15" x14ac:dyDescent="0.25">
      <c r="A61" s="453" t="s">
        <v>695</v>
      </c>
      <c r="B61" s="453"/>
      <c r="C61" s="245"/>
      <c r="D61" s="245"/>
    </row>
    <row r="62" spans="1:11" ht="15" x14ac:dyDescent="0.25">
      <c r="A62" s="405" t="s">
        <v>696</v>
      </c>
      <c r="B62" s="405"/>
      <c r="C62" s="405" t="s">
        <v>697</v>
      </c>
      <c r="D62" s="405"/>
      <c r="E62" s="405"/>
      <c r="F62" s="405"/>
      <c r="G62" s="405"/>
      <c r="H62" s="405"/>
      <c r="I62" s="405"/>
      <c r="J62" s="405"/>
      <c r="K62" s="405"/>
    </row>
    <row r="63" spans="1:11" x14ac:dyDescent="0.25">
      <c r="A63" s="245"/>
      <c r="B63" s="245"/>
      <c r="C63" s="245"/>
      <c r="D63" s="245"/>
      <c r="E63" s="245"/>
      <c r="F63" s="245"/>
      <c r="G63" s="245"/>
      <c r="H63" s="245"/>
      <c r="I63" s="245"/>
      <c r="J63" s="245"/>
      <c r="K63" s="245"/>
    </row>
    <row r="64" spans="1:11" x14ac:dyDescent="0.25">
      <c r="A64" s="245"/>
      <c r="B64" s="245"/>
      <c r="C64" s="245"/>
      <c r="D64" s="245"/>
      <c r="E64" s="245"/>
      <c r="F64" s="245"/>
      <c r="G64" s="245"/>
      <c r="H64" s="245"/>
      <c r="I64" s="245"/>
      <c r="J64" s="245"/>
      <c r="K64" s="245"/>
    </row>
    <row r="65" spans="1:11" ht="12" customHeight="1" x14ac:dyDescent="0.25">
      <c r="B65" s="1"/>
      <c r="C65" s="1"/>
      <c r="D65" s="1"/>
      <c r="E65" s="1"/>
      <c r="F65" s="1"/>
      <c r="G65" s="1"/>
      <c r="H65" s="1"/>
      <c r="I65" s="1"/>
      <c r="J65" s="1"/>
      <c r="K65" s="1"/>
    </row>
    <row r="66" spans="1:11" ht="30" customHeight="1" x14ac:dyDescent="0.25">
      <c r="A66" s="2" t="s">
        <v>716</v>
      </c>
      <c r="B66" s="452" t="s">
        <v>717</v>
      </c>
      <c r="C66" s="452"/>
      <c r="D66" s="452"/>
      <c r="E66" s="452"/>
      <c r="F66" s="452"/>
      <c r="G66" s="452"/>
      <c r="H66" s="452"/>
      <c r="I66" s="452"/>
      <c r="J66" s="452"/>
      <c r="K66" s="452"/>
    </row>
    <row r="67" spans="1:11" ht="15" x14ac:dyDescent="0.25">
      <c r="A67" s="453" t="s">
        <v>695</v>
      </c>
      <c r="B67" s="453"/>
      <c r="C67" s="245"/>
      <c r="D67" s="245"/>
    </row>
    <row r="68" spans="1:11" ht="15" x14ac:dyDescent="0.25">
      <c r="A68" s="405" t="s">
        <v>696</v>
      </c>
      <c r="B68" s="405"/>
      <c r="C68" s="405" t="s">
        <v>697</v>
      </c>
      <c r="D68" s="405"/>
      <c r="E68" s="405"/>
      <c r="F68" s="405"/>
      <c r="G68" s="405"/>
      <c r="H68" s="405"/>
      <c r="I68" s="405"/>
      <c r="J68" s="405"/>
      <c r="K68" s="405"/>
    </row>
    <row r="69" spans="1:11" x14ac:dyDescent="0.25">
      <c r="A69" s="245"/>
      <c r="B69" s="245"/>
      <c r="C69" s="245"/>
      <c r="D69" s="245"/>
      <c r="E69" s="245"/>
      <c r="F69" s="245"/>
      <c r="G69" s="245"/>
      <c r="H69" s="245"/>
      <c r="I69" s="245"/>
      <c r="J69" s="245"/>
      <c r="K69" s="245"/>
    </row>
    <row r="70" spans="1:11" x14ac:dyDescent="0.25">
      <c r="A70" s="245"/>
      <c r="B70" s="245"/>
      <c r="C70" s="245"/>
      <c r="D70" s="245"/>
      <c r="E70" s="245"/>
      <c r="F70" s="245"/>
      <c r="G70" s="245"/>
      <c r="H70" s="245"/>
      <c r="I70" s="245"/>
      <c r="J70" s="245"/>
      <c r="K70" s="245"/>
    </row>
    <row r="71" spans="1:11" ht="12.75" customHeight="1" x14ac:dyDescent="0.25">
      <c r="A71" s="49"/>
    </row>
    <row r="72" spans="1:11" ht="15" x14ac:dyDescent="0.25">
      <c r="A72" s="2" t="s">
        <v>718</v>
      </c>
      <c r="B72" s="452" t="s">
        <v>719</v>
      </c>
      <c r="C72" s="452"/>
      <c r="D72" s="452"/>
      <c r="E72" s="452"/>
      <c r="F72" s="452"/>
      <c r="G72" s="452"/>
      <c r="H72" s="452"/>
      <c r="I72" s="452"/>
      <c r="J72" s="452"/>
      <c r="K72" s="452"/>
    </row>
    <row r="73" spans="1:11" ht="15" x14ac:dyDescent="0.25">
      <c r="A73" s="453" t="s">
        <v>695</v>
      </c>
      <c r="B73" s="453"/>
      <c r="C73" s="245"/>
      <c r="D73" s="245"/>
    </row>
    <row r="74" spans="1:11" ht="15" x14ac:dyDescent="0.25">
      <c r="A74" s="405" t="s">
        <v>696</v>
      </c>
      <c r="B74" s="405"/>
      <c r="C74" s="405" t="s">
        <v>697</v>
      </c>
      <c r="D74" s="405"/>
      <c r="E74" s="405"/>
      <c r="F74" s="405"/>
      <c r="G74" s="405"/>
      <c r="H74" s="405"/>
      <c r="I74" s="405"/>
      <c r="J74" s="405"/>
      <c r="K74" s="405"/>
    </row>
    <row r="75" spans="1:11" x14ac:dyDescent="0.25">
      <c r="A75" s="245"/>
      <c r="B75" s="245"/>
      <c r="C75" s="245"/>
      <c r="D75" s="245"/>
      <c r="E75" s="245"/>
      <c r="F75" s="245"/>
      <c r="G75" s="245"/>
      <c r="H75" s="245"/>
      <c r="I75" s="245"/>
      <c r="J75" s="245"/>
      <c r="K75" s="245"/>
    </row>
    <row r="76" spans="1:11" x14ac:dyDescent="0.25">
      <c r="A76" s="245"/>
      <c r="B76" s="245"/>
      <c r="C76" s="245"/>
      <c r="D76" s="245"/>
      <c r="E76" s="245"/>
      <c r="F76" s="245"/>
      <c r="G76" s="245"/>
      <c r="H76" s="245"/>
      <c r="I76" s="245"/>
      <c r="J76" s="245"/>
      <c r="K76" s="245"/>
    </row>
    <row r="77" spans="1:11" ht="12.75" customHeight="1" x14ac:dyDescent="0.25"/>
    <row r="78" spans="1:11" ht="30" customHeight="1" x14ac:dyDescent="0.25">
      <c r="A78" s="2" t="s">
        <v>720</v>
      </c>
      <c r="B78" s="452" t="s">
        <v>721</v>
      </c>
      <c r="C78" s="452"/>
      <c r="D78" s="452"/>
      <c r="E78" s="452"/>
      <c r="F78" s="452"/>
      <c r="G78" s="452"/>
      <c r="H78" s="452"/>
      <c r="I78" s="452"/>
      <c r="J78" s="452"/>
      <c r="K78" s="452"/>
    </row>
    <row r="79" spans="1:11" ht="15" x14ac:dyDescent="0.25">
      <c r="A79" s="453" t="s">
        <v>695</v>
      </c>
      <c r="B79" s="453"/>
      <c r="C79" s="245"/>
      <c r="D79" s="245"/>
    </row>
    <row r="80" spans="1:11" ht="15" x14ac:dyDescent="0.25">
      <c r="A80" s="405" t="s">
        <v>696</v>
      </c>
      <c r="B80" s="405"/>
      <c r="C80" s="405" t="s">
        <v>697</v>
      </c>
      <c r="D80" s="405"/>
      <c r="E80" s="405"/>
      <c r="F80" s="405"/>
      <c r="G80" s="405"/>
      <c r="H80" s="405"/>
      <c r="I80" s="405"/>
      <c r="J80" s="405"/>
      <c r="K80" s="405"/>
    </row>
    <row r="81" spans="1:11" x14ac:dyDescent="0.25">
      <c r="A81" s="245"/>
      <c r="B81" s="245"/>
      <c r="C81" s="245"/>
      <c r="D81" s="245"/>
      <c r="E81" s="245"/>
      <c r="F81" s="245"/>
      <c r="G81" s="245"/>
      <c r="H81" s="245"/>
      <c r="I81" s="245"/>
      <c r="J81" s="245"/>
      <c r="K81" s="245"/>
    </row>
    <row r="82" spans="1:11" x14ac:dyDescent="0.25">
      <c r="A82" s="245"/>
      <c r="B82" s="245"/>
      <c r="C82" s="245"/>
      <c r="D82" s="245"/>
      <c r="E82" s="245"/>
      <c r="F82" s="245"/>
      <c r="G82" s="245"/>
      <c r="H82" s="245"/>
      <c r="I82" s="245"/>
      <c r="J82" s="245"/>
      <c r="K82" s="245"/>
    </row>
    <row r="83" spans="1:11" ht="12.75" customHeight="1" x14ac:dyDescent="0.25"/>
    <row r="84" spans="1:11" ht="15" x14ac:dyDescent="0.25">
      <c r="A84" s="2" t="s">
        <v>722</v>
      </c>
      <c r="B84" s="452" t="s">
        <v>723</v>
      </c>
      <c r="C84" s="452"/>
      <c r="D84" s="452"/>
      <c r="E84" s="452"/>
      <c r="F84" s="452"/>
      <c r="G84" s="452"/>
      <c r="H84" s="452"/>
      <c r="I84" s="452"/>
      <c r="J84" s="452"/>
      <c r="K84" s="452"/>
    </row>
    <row r="85" spans="1:11" ht="15" x14ac:dyDescent="0.25">
      <c r="A85" s="453" t="s">
        <v>695</v>
      </c>
      <c r="B85" s="453"/>
      <c r="C85" s="245"/>
      <c r="D85" s="245"/>
    </row>
    <row r="86" spans="1:11" ht="15" x14ac:dyDescent="0.25">
      <c r="A86" s="405" t="s">
        <v>696</v>
      </c>
      <c r="B86" s="405"/>
      <c r="C86" s="405" t="s">
        <v>697</v>
      </c>
      <c r="D86" s="405"/>
      <c r="E86" s="405"/>
      <c r="F86" s="405"/>
      <c r="G86" s="405"/>
      <c r="H86" s="405"/>
      <c r="I86" s="405"/>
      <c r="J86" s="405"/>
      <c r="K86" s="405"/>
    </row>
    <row r="87" spans="1:11" x14ac:dyDescent="0.25">
      <c r="A87" s="245"/>
      <c r="B87" s="245"/>
      <c r="C87" s="245"/>
      <c r="D87" s="245"/>
      <c r="E87" s="245"/>
      <c r="F87" s="245"/>
      <c r="G87" s="245"/>
      <c r="H87" s="245"/>
      <c r="I87" s="245"/>
      <c r="J87" s="245"/>
      <c r="K87" s="245"/>
    </row>
    <row r="88" spans="1:11" x14ac:dyDescent="0.25">
      <c r="A88" s="245"/>
      <c r="B88" s="245"/>
      <c r="C88" s="245"/>
      <c r="D88" s="245"/>
      <c r="E88" s="245"/>
      <c r="F88" s="245"/>
      <c r="G88" s="245"/>
      <c r="H88" s="245"/>
      <c r="I88" s="245"/>
      <c r="J88" s="245"/>
      <c r="K88" s="245"/>
    </row>
    <row r="89" spans="1:11" ht="12.75" customHeight="1" x14ac:dyDescent="0.25"/>
    <row r="90" spans="1:11" ht="30" customHeight="1" x14ac:dyDescent="0.25">
      <c r="A90" s="2" t="s">
        <v>724</v>
      </c>
      <c r="B90" s="452" t="s">
        <v>725</v>
      </c>
      <c r="C90" s="452"/>
      <c r="D90" s="452"/>
      <c r="E90" s="452"/>
      <c r="F90" s="452"/>
      <c r="G90" s="452"/>
      <c r="H90" s="452"/>
      <c r="I90" s="452"/>
      <c r="J90" s="452"/>
      <c r="K90" s="452"/>
    </row>
    <row r="91" spans="1:11" ht="15" x14ac:dyDescent="0.25">
      <c r="A91" s="453" t="s">
        <v>695</v>
      </c>
      <c r="B91" s="453"/>
      <c r="C91" s="245"/>
      <c r="D91" s="245"/>
    </row>
    <row r="92" spans="1:11" ht="15" x14ac:dyDescent="0.25">
      <c r="A92" s="405" t="s">
        <v>696</v>
      </c>
      <c r="B92" s="405"/>
      <c r="C92" s="405" t="s">
        <v>697</v>
      </c>
      <c r="D92" s="405"/>
      <c r="E92" s="405"/>
      <c r="F92" s="405"/>
      <c r="G92" s="405"/>
      <c r="H92" s="405"/>
      <c r="I92" s="405"/>
      <c r="J92" s="405"/>
      <c r="K92" s="405"/>
    </row>
    <row r="93" spans="1:11" x14ac:dyDescent="0.25">
      <c r="A93" s="245"/>
      <c r="B93" s="245"/>
      <c r="C93" s="245"/>
      <c r="D93" s="245"/>
      <c r="E93" s="245"/>
      <c r="F93" s="245"/>
      <c r="G93" s="245"/>
      <c r="H93" s="245"/>
      <c r="I93" s="245"/>
      <c r="J93" s="245"/>
      <c r="K93" s="245"/>
    </row>
    <row r="94" spans="1:11" x14ac:dyDescent="0.25">
      <c r="A94" s="245"/>
      <c r="B94" s="245"/>
      <c r="C94" s="245"/>
      <c r="D94" s="245"/>
      <c r="E94" s="245"/>
      <c r="F94" s="245"/>
      <c r="G94" s="245"/>
      <c r="H94" s="245"/>
      <c r="I94" s="245"/>
      <c r="J94" s="245"/>
      <c r="K94" s="245"/>
    </row>
    <row r="95" spans="1:11" ht="12.75" customHeight="1" x14ac:dyDescent="0.25"/>
    <row r="96" spans="1:11" ht="30" customHeight="1" x14ac:dyDescent="0.25">
      <c r="A96" s="2" t="s">
        <v>726</v>
      </c>
      <c r="B96" s="452" t="s">
        <v>727</v>
      </c>
      <c r="C96" s="452"/>
      <c r="D96" s="452"/>
      <c r="E96" s="452"/>
      <c r="F96" s="452"/>
      <c r="G96" s="452"/>
      <c r="H96" s="452"/>
      <c r="I96" s="452"/>
      <c r="J96" s="452"/>
      <c r="K96" s="452"/>
    </row>
    <row r="97" spans="1:11" ht="15" x14ac:dyDescent="0.25">
      <c r="A97" s="453" t="s">
        <v>695</v>
      </c>
      <c r="B97" s="453"/>
      <c r="C97" s="245"/>
      <c r="D97" s="245"/>
    </row>
    <row r="98" spans="1:11" ht="15" x14ac:dyDescent="0.25">
      <c r="A98" s="405" t="s">
        <v>696</v>
      </c>
      <c r="B98" s="405"/>
      <c r="C98" s="405" t="s">
        <v>697</v>
      </c>
      <c r="D98" s="405"/>
      <c r="E98" s="405"/>
      <c r="F98" s="405"/>
      <c r="G98" s="405"/>
      <c r="H98" s="405"/>
      <c r="I98" s="405"/>
      <c r="J98" s="405"/>
      <c r="K98" s="405"/>
    </row>
    <row r="99" spans="1:11" x14ac:dyDescent="0.25">
      <c r="A99" s="245"/>
      <c r="B99" s="245"/>
      <c r="C99" s="245"/>
      <c r="D99" s="245"/>
      <c r="E99" s="245"/>
      <c r="F99" s="245"/>
      <c r="G99" s="245"/>
      <c r="H99" s="245"/>
      <c r="I99" s="245"/>
      <c r="J99" s="245"/>
      <c r="K99" s="245"/>
    </row>
    <row r="100" spans="1:11" x14ac:dyDescent="0.25">
      <c r="A100" s="245"/>
      <c r="B100" s="245"/>
      <c r="C100" s="245"/>
      <c r="D100" s="245"/>
      <c r="E100" s="245"/>
      <c r="F100" s="245"/>
      <c r="G100" s="245"/>
      <c r="H100" s="245"/>
      <c r="I100" s="245"/>
      <c r="J100" s="245"/>
      <c r="K100" s="245"/>
    </row>
    <row r="101" spans="1:11" ht="12.75" customHeight="1" x14ac:dyDescent="0.25"/>
    <row r="102" spans="1:11" ht="30" customHeight="1" x14ac:dyDescent="0.25">
      <c r="A102" s="2" t="s">
        <v>728</v>
      </c>
      <c r="B102" s="452" t="s">
        <v>729</v>
      </c>
      <c r="C102" s="452"/>
      <c r="D102" s="452"/>
      <c r="E102" s="452"/>
      <c r="F102" s="452"/>
      <c r="G102" s="452"/>
      <c r="H102" s="452"/>
      <c r="I102" s="452"/>
      <c r="J102" s="452"/>
      <c r="K102" s="452"/>
    </row>
    <row r="103" spans="1:11" ht="15" x14ac:dyDescent="0.25">
      <c r="A103" s="453" t="s">
        <v>695</v>
      </c>
      <c r="B103" s="453"/>
      <c r="C103" s="245"/>
      <c r="D103" s="245"/>
    </row>
    <row r="104" spans="1:11" ht="15" x14ac:dyDescent="0.25">
      <c r="A104" s="405" t="s">
        <v>696</v>
      </c>
      <c r="B104" s="405"/>
      <c r="C104" s="405" t="s">
        <v>697</v>
      </c>
      <c r="D104" s="405"/>
      <c r="E104" s="405"/>
      <c r="F104" s="405"/>
      <c r="G104" s="405"/>
      <c r="H104" s="405"/>
      <c r="I104" s="405"/>
      <c r="J104" s="405"/>
      <c r="K104" s="405"/>
    </row>
    <row r="105" spans="1:11" x14ac:dyDescent="0.25">
      <c r="A105" s="245"/>
      <c r="B105" s="245"/>
      <c r="C105" s="245"/>
      <c r="D105" s="245"/>
      <c r="E105" s="245"/>
      <c r="F105" s="245"/>
      <c r="G105" s="245"/>
      <c r="H105" s="245"/>
      <c r="I105" s="245"/>
      <c r="J105" s="245"/>
      <c r="K105" s="245"/>
    </row>
    <row r="106" spans="1:11" x14ac:dyDescent="0.25">
      <c r="A106" s="245"/>
      <c r="B106" s="245"/>
      <c r="C106" s="245"/>
      <c r="D106" s="245"/>
      <c r="E106" s="245"/>
      <c r="F106" s="245"/>
      <c r="G106" s="245"/>
      <c r="H106" s="245"/>
      <c r="I106" s="245"/>
      <c r="J106" s="245"/>
      <c r="K106" s="245"/>
    </row>
    <row r="107" spans="1:11" ht="12.75" customHeight="1" x14ac:dyDescent="0.25"/>
    <row r="108" spans="1:11" ht="30" customHeight="1" x14ac:dyDescent="0.25">
      <c r="A108" s="2" t="s">
        <v>730</v>
      </c>
      <c r="B108" s="452" t="s">
        <v>731</v>
      </c>
      <c r="C108" s="452"/>
      <c r="D108" s="452"/>
      <c r="E108" s="452"/>
      <c r="F108" s="452"/>
      <c r="G108" s="452"/>
      <c r="H108" s="452"/>
      <c r="I108" s="452"/>
      <c r="J108" s="452"/>
      <c r="K108" s="452"/>
    </row>
    <row r="109" spans="1:11" ht="15" x14ac:dyDescent="0.25">
      <c r="A109" s="453" t="s">
        <v>695</v>
      </c>
      <c r="B109" s="453"/>
      <c r="C109" s="245"/>
      <c r="D109" s="245"/>
    </row>
    <row r="110" spans="1:11" ht="15" x14ac:dyDescent="0.25">
      <c r="A110" s="405" t="s">
        <v>696</v>
      </c>
      <c r="B110" s="405"/>
      <c r="C110" s="405" t="s">
        <v>697</v>
      </c>
      <c r="D110" s="405"/>
      <c r="E110" s="405"/>
      <c r="F110" s="405"/>
      <c r="G110" s="405"/>
      <c r="H110" s="405"/>
      <c r="I110" s="405"/>
      <c r="J110" s="405"/>
      <c r="K110" s="405"/>
    </row>
    <row r="111" spans="1:11" x14ac:dyDescent="0.25">
      <c r="A111" s="245"/>
      <c r="B111" s="245"/>
      <c r="C111" s="245"/>
      <c r="D111" s="245"/>
      <c r="E111" s="245"/>
      <c r="F111" s="245"/>
      <c r="G111" s="245"/>
      <c r="H111" s="245"/>
      <c r="I111" s="245"/>
      <c r="J111" s="245"/>
      <c r="K111" s="245"/>
    </row>
    <row r="112" spans="1:11" x14ac:dyDescent="0.25">
      <c r="A112" s="245"/>
      <c r="B112" s="245"/>
      <c r="C112" s="245"/>
      <c r="D112" s="245"/>
      <c r="E112" s="245"/>
      <c r="F112" s="245"/>
      <c r="G112" s="245"/>
      <c r="H112" s="245"/>
      <c r="I112" s="245"/>
      <c r="J112" s="245"/>
      <c r="K112" s="245"/>
    </row>
    <row r="113" spans="1:11" ht="12.75" customHeight="1" x14ac:dyDescent="0.25"/>
    <row r="114" spans="1:11" ht="15" x14ac:dyDescent="0.25">
      <c r="A114" s="190" t="s">
        <v>732</v>
      </c>
      <c r="B114" s="190"/>
      <c r="C114" s="104">
        <v>1</v>
      </c>
      <c r="D114" s="104">
        <v>2</v>
      </c>
      <c r="E114" s="104">
        <v>3</v>
      </c>
      <c r="F114" s="104">
        <v>4</v>
      </c>
      <c r="G114" s="104">
        <v>5</v>
      </c>
      <c r="H114" s="104">
        <v>6</v>
      </c>
      <c r="I114" s="104">
        <v>7</v>
      </c>
      <c r="J114" s="104">
        <v>8</v>
      </c>
      <c r="K114" s="104">
        <v>9</v>
      </c>
    </row>
    <row r="115" spans="1:11" ht="15" x14ac:dyDescent="0.25">
      <c r="A115" s="190" t="s">
        <v>733</v>
      </c>
      <c r="B115" s="190"/>
      <c r="C115" s="160"/>
      <c r="D115" s="160"/>
      <c r="E115" s="160"/>
      <c r="F115" s="160"/>
      <c r="G115" s="160"/>
      <c r="H115" s="160"/>
      <c r="I115" s="160"/>
      <c r="J115" s="160"/>
      <c r="K115" s="160"/>
    </row>
    <row r="116" spans="1:11" ht="12.75" customHeight="1" x14ac:dyDescent="0.25"/>
    <row r="117" spans="1:11" ht="15" x14ac:dyDescent="0.25">
      <c r="A117" s="190" t="s">
        <v>732</v>
      </c>
      <c r="B117" s="190"/>
      <c r="C117" s="104">
        <v>10</v>
      </c>
      <c r="D117" s="104">
        <v>11</v>
      </c>
      <c r="E117" s="104">
        <v>12</v>
      </c>
      <c r="F117" s="104">
        <v>13</v>
      </c>
      <c r="G117" s="104">
        <v>14</v>
      </c>
      <c r="H117" s="104">
        <v>15</v>
      </c>
      <c r="I117" s="104">
        <v>16</v>
      </c>
      <c r="J117" s="104">
        <v>17</v>
      </c>
      <c r="K117" s="104">
        <v>18</v>
      </c>
    </row>
    <row r="118" spans="1:11" ht="15" x14ac:dyDescent="0.25">
      <c r="A118" s="190" t="s">
        <v>733</v>
      </c>
      <c r="B118" s="190"/>
      <c r="C118" s="160"/>
      <c r="D118" s="160"/>
      <c r="E118" s="160"/>
      <c r="F118" s="160"/>
      <c r="G118" s="160"/>
      <c r="H118" s="160"/>
      <c r="I118" s="160"/>
      <c r="J118" s="160"/>
      <c r="K118" s="160"/>
    </row>
    <row r="119" spans="1:11" ht="12.75" customHeight="1" x14ac:dyDescent="0.25"/>
    <row r="120" spans="1:11" ht="15" x14ac:dyDescent="0.25">
      <c r="A120" s="451" t="s">
        <v>734</v>
      </c>
      <c r="B120" s="451"/>
    </row>
    <row r="121" spans="1:11" ht="30" customHeight="1" x14ac:dyDescent="0.25">
      <c r="A121" s="243" t="s">
        <v>735</v>
      </c>
      <c r="B121" s="243"/>
      <c r="C121" s="243"/>
      <c r="D121" s="243"/>
      <c r="E121" s="243"/>
      <c r="F121" s="243"/>
      <c r="G121" s="243"/>
      <c r="H121" s="243"/>
      <c r="I121" s="243"/>
      <c r="J121" s="243"/>
      <c r="K121" s="243"/>
    </row>
    <row r="122" spans="1:11" x14ac:dyDescent="0.25">
      <c r="A122" s="243" t="s">
        <v>736</v>
      </c>
      <c r="B122" s="243"/>
      <c r="C122" s="243"/>
      <c r="D122" s="243"/>
      <c r="E122" s="243"/>
      <c r="F122" s="243"/>
      <c r="G122" s="243"/>
      <c r="H122" s="243"/>
      <c r="I122" s="243"/>
      <c r="J122" s="243"/>
      <c r="K122" s="243"/>
    </row>
  </sheetData>
  <mergeCells count="172">
    <mergeCell ref="C13:D13"/>
    <mergeCell ref="A14:B14"/>
    <mergeCell ref="C14:K14"/>
    <mergeCell ref="A15:B15"/>
    <mergeCell ref="C15:K15"/>
    <mergeCell ref="A16:B16"/>
    <mergeCell ref="C16:K16"/>
    <mergeCell ref="A7:B7"/>
    <mergeCell ref="A1:K1"/>
    <mergeCell ref="A3:K3"/>
    <mergeCell ref="A4:K4"/>
    <mergeCell ref="B6:K6"/>
    <mergeCell ref="A9:B9"/>
    <mergeCell ref="C9:K9"/>
    <mergeCell ref="C7:D7"/>
    <mergeCell ref="A8:B8"/>
    <mergeCell ref="C8:K8"/>
    <mergeCell ref="A10:B10"/>
    <mergeCell ref="C10:K10"/>
    <mergeCell ref="B12:K12"/>
    <mergeCell ref="A13:B13"/>
    <mergeCell ref="A22:B22"/>
    <mergeCell ref="C22:K22"/>
    <mergeCell ref="B24:K24"/>
    <mergeCell ref="A25:B25"/>
    <mergeCell ref="C25:D25"/>
    <mergeCell ref="A26:B26"/>
    <mergeCell ref="C26:K26"/>
    <mergeCell ref="B18:K18"/>
    <mergeCell ref="A19:B19"/>
    <mergeCell ref="C19:D19"/>
    <mergeCell ref="A20:B20"/>
    <mergeCell ref="C20:K20"/>
    <mergeCell ref="A21:B21"/>
    <mergeCell ref="C21:K21"/>
    <mergeCell ref="A32:B32"/>
    <mergeCell ref="C32:K32"/>
    <mergeCell ref="A33:B33"/>
    <mergeCell ref="C33:K33"/>
    <mergeCell ref="A34:B34"/>
    <mergeCell ref="C34:K34"/>
    <mergeCell ref="A27:B27"/>
    <mergeCell ref="C27:K27"/>
    <mergeCell ref="A28:B28"/>
    <mergeCell ref="C28:K28"/>
    <mergeCell ref="B30:K30"/>
    <mergeCell ref="A31:B31"/>
    <mergeCell ref="C31:D31"/>
    <mergeCell ref="A40:B40"/>
    <mergeCell ref="C40:K40"/>
    <mergeCell ref="B42:K42"/>
    <mergeCell ref="A43:B43"/>
    <mergeCell ref="C43:D43"/>
    <mergeCell ref="A44:B44"/>
    <mergeCell ref="C44:K44"/>
    <mergeCell ref="B36:K36"/>
    <mergeCell ref="A37:B37"/>
    <mergeCell ref="C37:D37"/>
    <mergeCell ref="A38:B38"/>
    <mergeCell ref="C38:K38"/>
    <mergeCell ref="A39:B39"/>
    <mergeCell ref="C39:K39"/>
    <mergeCell ref="A50:B50"/>
    <mergeCell ref="C50:K50"/>
    <mergeCell ref="A51:B51"/>
    <mergeCell ref="C51:K51"/>
    <mergeCell ref="A52:B52"/>
    <mergeCell ref="C52:K52"/>
    <mergeCell ref="A45:B45"/>
    <mergeCell ref="C45:K45"/>
    <mergeCell ref="A46:B46"/>
    <mergeCell ref="C46:K46"/>
    <mergeCell ref="B48:K48"/>
    <mergeCell ref="A49:B49"/>
    <mergeCell ref="C49:D49"/>
    <mergeCell ref="A58:B58"/>
    <mergeCell ref="C58:K58"/>
    <mergeCell ref="B60:K60"/>
    <mergeCell ref="A61:B61"/>
    <mergeCell ref="C61:D61"/>
    <mergeCell ref="A62:B62"/>
    <mergeCell ref="C62:K62"/>
    <mergeCell ref="B54:K54"/>
    <mergeCell ref="A55:B55"/>
    <mergeCell ref="C55:D55"/>
    <mergeCell ref="A56:B56"/>
    <mergeCell ref="C56:K56"/>
    <mergeCell ref="A57:B57"/>
    <mergeCell ref="C57:K57"/>
    <mergeCell ref="A68:B68"/>
    <mergeCell ref="C68:K68"/>
    <mergeCell ref="A69:B69"/>
    <mergeCell ref="C69:K69"/>
    <mergeCell ref="A70:B70"/>
    <mergeCell ref="C70:K70"/>
    <mergeCell ref="A63:B63"/>
    <mergeCell ref="C63:K63"/>
    <mergeCell ref="A64:B64"/>
    <mergeCell ref="C64:K64"/>
    <mergeCell ref="B66:K66"/>
    <mergeCell ref="A67:B67"/>
    <mergeCell ref="C67:D67"/>
    <mergeCell ref="A76:B76"/>
    <mergeCell ref="C76:K76"/>
    <mergeCell ref="B78:K78"/>
    <mergeCell ref="A79:B79"/>
    <mergeCell ref="C79:D79"/>
    <mergeCell ref="A80:B80"/>
    <mergeCell ref="C80:K80"/>
    <mergeCell ref="B72:K72"/>
    <mergeCell ref="A73:B73"/>
    <mergeCell ref="C73:D73"/>
    <mergeCell ref="A74:B74"/>
    <mergeCell ref="C74:K74"/>
    <mergeCell ref="A75:B75"/>
    <mergeCell ref="C75:K75"/>
    <mergeCell ref="A86:B86"/>
    <mergeCell ref="C86:K86"/>
    <mergeCell ref="A87:B87"/>
    <mergeCell ref="C87:K87"/>
    <mergeCell ref="A88:B88"/>
    <mergeCell ref="C88:K88"/>
    <mergeCell ref="A81:B81"/>
    <mergeCell ref="C81:K81"/>
    <mergeCell ref="A82:B82"/>
    <mergeCell ref="C82:K82"/>
    <mergeCell ref="B84:K84"/>
    <mergeCell ref="A85:B85"/>
    <mergeCell ref="C85:D85"/>
    <mergeCell ref="A94:B94"/>
    <mergeCell ref="C94:K94"/>
    <mergeCell ref="B96:K96"/>
    <mergeCell ref="A97:B97"/>
    <mergeCell ref="C97:D97"/>
    <mergeCell ref="A98:B98"/>
    <mergeCell ref="C98:K98"/>
    <mergeCell ref="B90:K90"/>
    <mergeCell ref="A91:B91"/>
    <mergeCell ref="C91:D91"/>
    <mergeCell ref="A92:B92"/>
    <mergeCell ref="C92:K92"/>
    <mergeCell ref="A93:B93"/>
    <mergeCell ref="C93:K93"/>
    <mergeCell ref="A104:B104"/>
    <mergeCell ref="C104:K104"/>
    <mergeCell ref="A105:B105"/>
    <mergeCell ref="C105:K105"/>
    <mergeCell ref="A106:B106"/>
    <mergeCell ref="C106:K106"/>
    <mergeCell ref="A99:B99"/>
    <mergeCell ref="C99:K99"/>
    <mergeCell ref="A100:B100"/>
    <mergeCell ref="C100:K100"/>
    <mergeCell ref="B102:K102"/>
    <mergeCell ref="A103:B103"/>
    <mergeCell ref="C103:D103"/>
    <mergeCell ref="A112:B112"/>
    <mergeCell ref="C112:K112"/>
    <mergeCell ref="A120:B120"/>
    <mergeCell ref="A121:K121"/>
    <mergeCell ref="A122:K122"/>
    <mergeCell ref="B108:K108"/>
    <mergeCell ref="A109:B109"/>
    <mergeCell ref="C109:D109"/>
    <mergeCell ref="A110:B110"/>
    <mergeCell ref="C110:K110"/>
    <mergeCell ref="A111:B111"/>
    <mergeCell ref="C111:K111"/>
    <mergeCell ref="A114:B114"/>
    <mergeCell ref="A115:B115"/>
    <mergeCell ref="A117:B117"/>
    <mergeCell ref="A118:B118"/>
  </mergeCells>
  <printOptions horizontalCentered="1"/>
  <pageMargins left="0.39370078740157483" right="0.39370078740157483" top="0.59055118110236227" bottom="0.39370078740157483" header="0.31496062992125984" footer="0.31496062992125984"/>
  <pageSetup paperSize="9" scale="79" fitToHeight="2" orientation="portrait" horizontalDpi="300" verticalDpi="300" r:id="rId1"/>
  <headerFooter>
    <oddHeader>&amp;C&amp;"Arial,Negrito"&amp;12ANEXO XVIII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55"/>
  <sheetViews>
    <sheetView showGridLines="0" zoomScaleNormal="100" workbookViewId="0">
      <selection activeCell="C127" sqref="C127"/>
    </sheetView>
  </sheetViews>
  <sheetFormatPr defaultRowHeight="15" x14ac:dyDescent="0.25"/>
  <cols>
    <col min="2" max="2" width="72.140625" customWidth="1"/>
    <col min="3" max="3" width="21.140625" customWidth="1"/>
    <col min="4" max="4" width="18.42578125" customWidth="1"/>
  </cols>
  <sheetData>
    <row r="1" spans="1:4" ht="23.25" x14ac:dyDescent="0.35">
      <c r="A1" s="200" t="s">
        <v>26</v>
      </c>
      <c r="B1" s="200"/>
      <c r="C1" s="200"/>
      <c r="D1" s="200"/>
    </row>
    <row r="2" spans="1:4" ht="15.75" x14ac:dyDescent="0.25">
      <c r="A2" s="205" t="s">
        <v>27</v>
      </c>
      <c r="B2" s="205"/>
      <c r="C2" s="205"/>
      <c r="D2" s="205"/>
    </row>
    <row r="3" spans="1:4" ht="13.5" customHeight="1" x14ac:dyDescent="0.25">
      <c r="A3" s="15"/>
      <c r="B3" s="15"/>
      <c r="C3" s="15"/>
      <c r="D3" s="15"/>
    </row>
    <row r="4" spans="1:4" ht="18" customHeight="1" x14ac:dyDescent="0.25">
      <c r="A4" s="34"/>
      <c r="B4" s="35" t="s">
        <v>28</v>
      </c>
      <c r="C4" s="37" t="s">
        <v>29</v>
      </c>
      <c r="D4" s="15"/>
    </row>
    <row r="5" spans="1:4" ht="18" customHeight="1" x14ac:dyDescent="0.25">
      <c r="A5" s="34"/>
      <c r="B5" s="35" t="s">
        <v>30</v>
      </c>
      <c r="C5" s="36"/>
      <c r="D5" s="15"/>
    </row>
    <row r="6" spans="1:4" ht="16.5" customHeight="1" x14ac:dyDescent="0.25">
      <c r="A6" s="15"/>
      <c r="B6" s="15"/>
      <c r="C6" s="15"/>
      <c r="D6" s="15"/>
    </row>
    <row r="7" spans="1:4" ht="18.75" customHeight="1" x14ac:dyDescent="0.25">
      <c r="A7" s="198" t="s">
        <v>138</v>
      </c>
      <c r="B7" s="198"/>
      <c r="C7" s="198"/>
      <c r="D7" s="15"/>
    </row>
    <row r="8" spans="1:4" ht="16.5" customHeight="1" x14ac:dyDescent="0.25">
      <c r="A8" s="38"/>
      <c r="B8" s="38"/>
      <c r="C8" s="38"/>
      <c r="D8" s="15"/>
    </row>
    <row r="9" spans="1:4" ht="16.5" customHeight="1" x14ac:dyDescent="0.25">
      <c r="A9" s="37" t="s">
        <v>32</v>
      </c>
      <c r="B9" s="39" t="s">
        <v>33</v>
      </c>
      <c r="C9" s="37"/>
      <c r="D9" s="15"/>
    </row>
    <row r="10" spans="1:4" ht="16.5" customHeight="1" x14ac:dyDescent="0.25">
      <c r="A10" s="37" t="s">
        <v>34</v>
      </c>
      <c r="B10" s="39" t="s">
        <v>35</v>
      </c>
      <c r="C10" s="37" t="s">
        <v>36</v>
      </c>
      <c r="D10" s="15"/>
    </row>
    <row r="11" spans="1:4" ht="36.75" customHeight="1" x14ac:dyDescent="0.25">
      <c r="A11" s="37" t="s">
        <v>37</v>
      </c>
      <c r="B11" s="39" t="s">
        <v>38</v>
      </c>
      <c r="C11" s="43" t="s">
        <v>39</v>
      </c>
      <c r="D11" s="15"/>
    </row>
    <row r="12" spans="1:4" ht="16.5" customHeight="1" x14ac:dyDescent="0.25">
      <c r="A12" s="37" t="s">
        <v>40</v>
      </c>
      <c r="B12" s="39" t="s">
        <v>41</v>
      </c>
      <c r="C12" s="37">
        <v>30</v>
      </c>
      <c r="D12" s="15"/>
    </row>
    <row r="13" spans="1:4" ht="16.5" customHeight="1" x14ac:dyDescent="0.25">
      <c r="A13" s="37" t="s">
        <v>42</v>
      </c>
      <c r="B13" s="39" t="s">
        <v>139</v>
      </c>
      <c r="C13" s="105">
        <f>'QTD TOTAL SERVENTE-ENCARREGADO'!F4</f>
        <v>3</v>
      </c>
      <c r="D13" s="15"/>
    </row>
    <row r="14" spans="1:4" ht="12.75" customHeight="1" x14ac:dyDescent="0.25">
      <c r="A14" s="15"/>
      <c r="B14" s="15"/>
      <c r="C14" s="15"/>
      <c r="D14" s="15"/>
    </row>
    <row r="15" spans="1:4" ht="12.75" customHeight="1" x14ac:dyDescent="0.25">
      <c r="A15" s="45"/>
      <c r="B15" s="45"/>
      <c r="C15" s="15"/>
      <c r="D15" s="15"/>
    </row>
    <row r="16" spans="1:4" ht="18.75" customHeight="1" x14ac:dyDescent="0.25">
      <c r="A16" s="198" t="s">
        <v>44</v>
      </c>
      <c r="B16" s="198"/>
      <c r="C16" s="198"/>
      <c r="D16" s="15"/>
    </row>
    <row r="17" spans="1:4" ht="14.25" customHeight="1" x14ac:dyDescent="0.25">
      <c r="A17" s="15"/>
      <c r="B17" s="15"/>
      <c r="C17" s="15"/>
      <c r="D17" s="15"/>
    </row>
    <row r="18" spans="1:4" ht="16.5" customHeight="1" x14ac:dyDescent="0.25">
      <c r="A18" s="199" t="s">
        <v>45</v>
      </c>
      <c r="B18" s="199"/>
      <c r="C18" s="199"/>
      <c r="D18" s="15"/>
    </row>
    <row r="19" spans="1:4" ht="16.5" customHeight="1" x14ac:dyDescent="0.25">
      <c r="A19" s="40"/>
      <c r="B19" s="40"/>
      <c r="C19" s="40"/>
      <c r="D19" s="15"/>
    </row>
    <row r="20" spans="1:4" ht="30" x14ac:dyDescent="0.25">
      <c r="A20" s="41">
        <v>1</v>
      </c>
      <c r="B20" s="42" t="s">
        <v>46</v>
      </c>
      <c r="C20" s="43" t="s">
        <v>47</v>
      </c>
      <c r="D20" s="15"/>
    </row>
    <row r="21" spans="1:4" ht="18" customHeight="1" x14ac:dyDescent="0.25">
      <c r="A21" s="41">
        <v>2</v>
      </c>
      <c r="B21" s="42" t="s">
        <v>140</v>
      </c>
      <c r="C21" s="37" t="s">
        <v>141</v>
      </c>
      <c r="D21" s="15"/>
    </row>
    <row r="22" spans="1:4" ht="45" x14ac:dyDescent="0.25">
      <c r="A22" s="41">
        <v>3</v>
      </c>
      <c r="B22" s="42" t="s">
        <v>50</v>
      </c>
      <c r="C22" s="43" t="s">
        <v>142</v>
      </c>
      <c r="D22" s="15"/>
    </row>
    <row r="23" spans="1:4" ht="18" customHeight="1" x14ac:dyDescent="0.25">
      <c r="A23" s="37">
        <v>4</v>
      </c>
      <c r="B23" s="42" t="s">
        <v>52</v>
      </c>
      <c r="C23" s="44">
        <v>44562</v>
      </c>
      <c r="D23" s="15"/>
    </row>
    <row r="24" spans="1:4" ht="16.5" customHeight="1" x14ac:dyDescent="0.25">
      <c r="A24" s="15"/>
      <c r="B24" s="15"/>
      <c r="C24" s="15"/>
      <c r="D24" s="15"/>
    </row>
    <row r="25" spans="1:4" ht="16.5" customHeight="1" x14ac:dyDescent="0.25">
      <c r="A25" s="198" t="s">
        <v>53</v>
      </c>
      <c r="B25" s="198"/>
      <c r="C25" s="198"/>
      <c r="D25" s="15"/>
    </row>
    <row r="26" spans="1:4" ht="16.5" customHeight="1" thickBot="1" x14ac:dyDescent="0.3">
      <c r="A26" s="15"/>
      <c r="B26" s="15"/>
      <c r="C26" s="15"/>
      <c r="D26" s="15"/>
    </row>
    <row r="27" spans="1:4" ht="16.5" customHeight="1" thickBot="1" x14ac:dyDescent="0.3">
      <c r="A27" s="16">
        <v>1</v>
      </c>
      <c r="B27" s="17" t="s">
        <v>54</v>
      </c>
      <c r="C27" s="17" t="s">
        <v>55</v>
      </c>
      <c r="D27" s="15"/>
    </row>
    <row r="28" spans="1:4" ht="16.5" customHeight="1" thickBot="1" x14ac:dyDescent="0.3">
      <c r="A28" s="18" t="s">
        <v>32</v>
      </c>
      <c r="B28" s="19" t="s">
        <v>56</v>
      </c>
      <c r="C28" s="20">
        <v>2833.5</v>
      </c>
      <c r="D28" s="15"/>
    </row>
    <row r="29" spans="1:4" ht="16.5" customHeight="1" thickBot="1" x14ac:dyDescent="0.3">
      <c r="A29" s="18" t="s">
        <v>34</v>
      </c>
      <c r="B29" s="19" t="s">
        <v>57</v>
      </c>
      <c r="C29" s="20"/>
      <c r="D29" s="15"/>
    </row>
    <row r="30" spans="1:4" ht="16.5" customHeight="1" thickBot="1" x14ac:dyDescent="0.3">
      <c r="A30" s="18" t="s">
        <v>37</v>
      </c>
      <c r="B30" s="19" t="s">
        <v>58</v>
      </c>
      <c r="C30" s="20"/>
      <c r="D30" s="15"/>
    </row>
    <row r="31" spans="1:4" ht="16.5" customHeight="1" thickBot="1" x14ac:dyDescent="0.3">
      <c r="A31" s="18" t="s">
        <v>40</v>
      </c>
      <c r="B31" s="19" t="s">
        <v>59</v>
      </c>
      <c r="C31" s="20"/>
      <c r="D31" s="15"/>
    </row>
    <row r="32" spans="1:4" ht="16.5" customHeight="1" thickBot="1" x14ac:dyDescent="0.3">
      <c r="A32" s="18" t="s">
        <v>42</v>
      </c>
      <c r="B32" s="19" t="s">
        <v>60</v>
      </c>
      <c r="C32" s="20"/>
      <c r="D32" s="15"/>
    </row>
    <row r="33" spans="1:4" ht="16.5" customHeight="1" thickBot="1" x14ac:dyDescent="0.3">
      <c r="A33" s="18"/>
      <c r="B33" s="19"/>
      <c r="C33" s="20"/>
      <c r="D33" s="15"/>
    </row>
    <row r="34" spans="1:4" ht="16.5" customHeight="1" thickBot="1" x14ac:dyDescent="0.3">
      <c r="A34" s="18" t="s">
        <v>61</v>
      </c>
      <c r="B34" s="19" t="s">
        <v>62</v>
      </c>
      <c r="C34" s="20"/>
      <c r="D34" s="15"/>
    </row>
    <row r="35" spans="1:4" ht="16.5" customHeight="1" thickBot="1" x14ac:dyDescent="0.3">
      <c r="A35" s="195" t="s">
        <v>63</v>
      </c>
      <c r="B35" s="196"/>
      <c r="C35" s="21">
        <f>SUM(C28:C34)</f>
        <v>2833.5</v>
      </c>
      <c r="D35" s="15"/>
    </row>
    <row r="36" spans="1:4" ht="11.25" customHeight="1" x14ac:dyDescent="0.25">
      <c r="A36" s="15"/>
      <c r="B36" s="15"/>
      <c r="C36" s="15"/>
      <c r="D36" s="15"/>
    </row>
    <row r="37" spans="1:4" ht="11.25" customHeight="1" x14ac:dyDescent="0.25">
      <c r="A37" s="15"/>
      <c r="B37" s="15"/>
      <c r="C37" s="15"/>
      <c r="D37" s="15"/>
    </row>
    <row r="38" spans="1:4" ht="16.5" customHeight="1" x14ac:dyDescent="0.25">
      <c r="A38" s="198" t="s">
        <v>64</v>
      </c>
      <c r="B38" s="198"/>
      <c r="C38" s="198"/>
      <c r="D38" s="15"/>
    </row>
    <row r="39" spans="1:4" ht="16.5" customHeight="1" x14ac:dyDescent="0.25">
      <c r="A39" s="22"/>
      <c r="B39" s="15"/>
      <c r="C39" s="15"/>
      <c r="D39" s="15"/>
    </row>
    <row r="40" spans="1:4" ht="16.5" customHeight="1" x14ac:dyDescent="0.25">
      <c r="A40" s="194" t="s">
        <v>65</v>
      </c>
      <c r="B40" s="194"/>
      <c r="C40" s="194"/>
      <c r="D40" s="15"/>
    </row>
    <row r="41" spans="1:4" ht="16.5" customHeight="1" thickBot="1" x14ac:dyDescent="0.3">
      <c r="A41" s="15"/>
      <c r="B41" s="15"/>
      <c r="C41" s="15"/>
      <c r="D41" s="15"/>
    </row>
    <row r="42" spans="1:4" ht="16.5" customHeight="1" thickBot="1" x14ac:dyDescent="0.3">
      <c r="A42" s="16" t="s">
        <v>66</v>
      </c>
      <c r="B42" s="17" t="s">
        <v>67</v>
      </c>
      <c r="C42" s="17" t="s">
        <v>55</v>
      </c>
      <c r="D42" s="15"/>
    </row>
    <row r="43" spans="1:4" ht="16.5" customHeight="1" thickBot="1" x14ac:dyDescent="0.3">
      <c r="A43" s="18" t="s">
        <v>32</v>
      </c>
      <c r="B43" s="19" t="s">
        <v>68</v>
      </c>
      <c r="C43" s="20">
        <f>C35*8.33%</f>
        <v>236.03055000000001</v>
      </c>
      <c r="D43" s="15"/>
    </row>
    <row r="44" spans="1:4" ht="16.5" customHeight="1" thickBot="1" x14ac:dyDescent="0.3">
      <c r="A44" s="18" t="s">
        <v>34</v>
      </c>
      <c r="B44" s="19" t="s">
        <v>69</v>
      </c>
      <c r="C44" s="20">
        <f>C35*2.78%</f>
        <v>78.771299999999997</v>
      </c>
      <c r="D44" s="15"/>
    </row>
    <row r="45" spans="1:4" ht="16.5" customHeight="1" thickBot="1" x14ac:dyDescent="0.3">
      <c r="A45" s="195" t="s">
        <v>63</v>
      </c>
      <c r="B45" s="196"/>
      <c r="C45" s="21">
        <f>SUM(C43:C44)</f>
        <v>314.80185</v>
      </c>
      <c r="D45" s="15"/>
    </row>
    <row r="46" spans="1:4" ht="16.5" customHeight="1" x14ac:dyDescent="0.25">
      <c r="A46" s="15"/>
      <c r="B46" s="15"/>
      <c r="C46" s="15"/>
      <c r="D46" s="15"/>
    </row>
    <row r="47" spans="1:4" ht="16.5" customHeight="1" x14ac:dyDescent="0.25">
      <c r="A47" s="15"/>
      <c r="B47" s="15"/>
      <c r="C47" s="15"/>
      <c r="D47" s="15"/>
    </row>
    <row r="48" spans="1:4" ht="16.5" customHeight="1" x14ac:dyDescent="0.25">
      <c r="A48" s="197" t="s">
        <v>70</v>
      </c>
      <c r="B48" s="197"/>
      <c r="C48" s="197"/>
      <c r="D48" s="197"/>
    </row>
    <row r="49" spans="1:4" ht="16.5" customHeight="1" thickBot="1" x14ac:dyDescent="0.3">
      <c r="A49" s="15"/>
      <c r="B49" s="15"/>
      <c r="C49" s="15"/>
      <c r="D49" s="15"/>
    </row>
    <row r="50" spans="1:4" ht="16.5" customHeight="1" thickBot="1" x14ac:dyDescent="0.3">
      <c r="A50" s="16" t="s">
        <v>71</v>
      </c>
      <c r="B50" s="17" t="s">
        <v>72</v>
      </c>
      <c r="C50" s="17" t="s">
        <v>73</v>
      </c>
      <c r="D50" s="17" t="s">
        <v>55</v>
      </c>
    </row>
    <row r="51" spans="1:4" ht="16.5" customHeight="1" thickBot="1" x14ac:dyDescent="0.3">
      <c r="A51" s="18" t="s">
        <v>32</v>
      </c>
      <c r="B51" s="19" t="s">
        <v>74</v>
      </c>
      <c r="C51" s="23">
        <v>0.2</v>
      </c>
      <c r="D51" s="20">
        <f t="shared" ref="D51:D58" si="0">($C$35+$C$45)*C51</f>
        <v>629.66037000000006</v>
      </c>
    </row>
    <row r="52" spans="1:4" ht="16.5" customHeight="1" thickBot="1" x14ac:dyDescent="0.3">
      <c r="A52" s="18" t="s">
        <v>34</v>
      </c>
      <c r="B52" s="19" t="s">
        <v>75</v>
      </c>
      <c r="C52" s="23">
        <v>2.5000000000000001E-2</v>
      </c>
      <c r="D52" s="20">
        <f t="shared" si="0"/>
        <v>78.707546250000007</v>
      </c>
    </row>
    <row r="53" spans="1:4" ht="16.5" customHeight="1" thickBot="1" x14ac:dyDescent="0.3">
      <c r="A53" s="18" t="s">
        <v>37</v>
      </c>
      <c r="B53" s="19" t="s">
        <v>76</v>
      </c>
      <c r="C53" s="23">
        <v>0.03</v>
      </c>
      <c r="D53" s="20">
        <f t="shared" si="0"/>
        <v>94.449055499999986</v>
      </c>
    </row>
    <row r="54" spans="1:4" ht="16.5" customHeight="1" thickBot="1" x14ac:dyDescent="0.3">
      <c r="A54" s="18" t="s">
        <v>40</v>
      </c>
      <c r="B54" s="19" t="s">
        <v>77</v>
      </c>
      <c r="C54" s="23">
        <v>1.4999999999999999E-2</v>
      </c>
      <c r="D54" s="20">
        <f t="shared" si="0"/>
        <v>47.224527749999993</v>
      </c>
    </row>
    <row r="55" spans="1:4" ht="16.5" customHeight="1" thickBot="1" x14ac:dyDescent="0.3">
      <c r="A55" s="18" t="s">
        <v>42</v>
      </c>
      <c r="B55" s="19" t="s">
        <v>78</v>
      </c>
      <c r="C55" s="23">
        <v>0.01</v>
      </c>
      <c r="D55" s="20">
        <f t="shared" si="0"/>
        <v>31.4830185</v>
      </c>
    </row>
    <row r="56" spans="1:4" ht="16.5" customHeight="1" thickBot="1" x14ac:dyDescent="0.3">
      <c r="A56" s="18" t="s">
        <v>79</v>
      </c>
      <c r="B56" s="19" t="s">
        <v>80</v>
      </c>
      <c r="C56" s="23">
        <v>6.0000000000000001E-3</v>
      </c>
      <c r="D56" s="20">
        <f t="shared" si="0"/>
        <v>18.889811099999999</v>
      </c>
    </row>
    <row r="57" spans="1:4" ht="16.5" customHeight="1" thickBot="1" x14ac:dyDescent="0.3">
      <c r="A57" s="18" t="s">
        <v>61</v>
      </c>
      <c r="B57" s="19" t="s">
        <v>81</v>
      </c>
      <c r="C57" s="23">
        <v>2E-3</v>
      </c>
      <c r="D57" s="20">
        <f t="shared" si="0"/>
        <v>6.2966036999999995</v>
      </c>
    </row>
    <row r="58" spans="1:4" ht="16.5" customHeight="1" thickBot="1" x14ac:dyDescent="0.3">
      <c r="A58" s="18" t="s">
        <v>82</v>
      </c>
      <c r="B58" s="19" t="s">
        <v>83</v>
      </c>
      <c r="C58" s="23">
        <v>0.08</v>
      </c>
      <c r="D58" s="20">
        <f t="shared" si="0"/>
        <v>251.864148</v>
      </c>
    </row>
    <row r="59" spans="1:4" ht="16.5" customHeight="1" thickBot="1" x14ac:dyDescent="0.3">
      <c r="A59" s="195" t="s">
        <v>84</v>
      </c>
      <c r="B59" s="196"/>
      <c r="C59" s="24">
        <f>SUM(C51:C58)</f>
        <v>0.36800000000000005</v>
      </c>
      <c r="D59" s="21">
        <f>SUM(D51:D58)</f>
        <v>1158.5750807999998</v>
      </c>
    </row>
    <row r="60" spans="1:4" ht="12" customHeight="1" x14ac:dyDescent="0.25">
      <c r="A60" s="15"/>
      <c r="B60" s="15"/>
      <c r="C60" s="15"/>
      <c r="D60" s="15"/>
    </row>
    <row r="61" spans="1:4" ht="12" customHeight="1" x14ac:dyDescent="0.25">
      <c r="A61" s="15"/>
      <c r="B61" s="15"/>
      <c r="C61" s="15"/>
      <c r="D61" s="15"/>
    </row>
    <row r="62" spans="1:4" ht="16.5" customHeight="1" x14ac:dyDescent="0.25">
      <c r="A62" s="194" t="s">
        <v>85</v>
      </c>
      <c r="B62" s="194"/>
      <c r="C62" s="194"/>
      <c r="D62" s="15"/>
    </row>
    <row r="63" spans="1:4" ht="16.5" customHeight="1" thickBot="1" x14ac:dyDescent="0.3">
      <c r="A63" s="15"/>
      <c r="B63" s="15"/>
      <c r="C63" s="15"/>
      <c r="D63" s="15"/>
    </row>
    <row r="64" spans="1:4" ht="16.5" customHeight="1" thickBot="1" x14ac:dyDescent="0.3">
      <c r="A64" s="16" t="s">
        <v>86</v>
      </c>
      <c r="B64" s="17" t="s">
        <v>87</v>
      </c>
      <c r="C64" s="17" t="s">
        <v>55</v>
      </c>
      <c r="D64" s="15"/>
    </row>
    <row r="65" spans="1:4" ht="16.5" customHeight="1" thickBot="1" x14ac:dyDescent="0.3">
      <c r="A65" s="18" t="s">
        <v>32</v>
      </c>
      <c r="B65" s="19" t="s">
        <v>88</v>
      </c>
      <c r="C65" s="20">
        <f>('CÁLCULO TRANSPORTE-ALIMENTAÇÃO'!B12*'Custo Servente SEG-DOM - ITEM 1'!D65)-(C28*6%)</f>
        <v>115.99000000000001</v>
      </c>
      <c r="D65" s="106">
        <f>5.5*2</f>
        <v>11</v>
      </c>
    </row>
    <row r="66" spans="1:4" ht="16.5" customHeight="1" thickBot="1" x14ac:dyDescent="0.3">
      <c r="A66" s="18" t="s">
        <v>34</v>
      </c>
      <c r="B66" s="19" t="s">
        <v>89</v>
      </c>
      <c r="C66" s="20">
        <f>D66*'CÁLCULO TRANSPORTE-ALIMENTAÇÃO'!B12</f>
        <v>988</v>
      </c>
      <c r="D66" s="106">
        <v>38</v>
      </c>
    </row>
    <row r="67" spans="1:4" ht="16.5" customHeight="1" thickBot="1" x14ac:dyDescent="0.3">
      <c r="A67" s="18" t="s">
        <v>37</v>
      </c>
      <c r="B67" s="19" t="s">
        <v>90</v>
      </c>
      <c r="C67" s="20">
        <v>169.67</v>
      </c>
      <c r="D67" s="15"/>
    </row>
    <row r="68" spans="1:4" ht="16.5" customHeight="1" thickBot="1" x14ac:dyDescent="0.3">
      <c r="A68" s="18" t="s">
        <v>40</v>
      </c>
      <c r="B68" s="19" t="s">
        <v>91</v>
      </c>
      <c r="C68" s="20">
        <v>11.27</v>
      </c>
      <c r="D68" s="15"/>
    </row>
    <row r="69" spans="1:4" ht="16.5" customHeight="1" thickBot="1" x14ac:dyDescent="0.3">
      <c r="A69" s="18" t="s">
        <v>42</v>
      </c>
      <c r="B69" s="19" t="s">
        <v>92</v>
      </c>
      <c r="C69" s="20">
        <v>2.5</v>
      </c>
      <c r="D69" s="15"/>
    </row>
    <row r="70" spans="1:4" ht="16.5" customHeight="1" thickBot="1" x14ac:dyDescent="0.3">
      <c r="A70" s="195" t="s">
        <v>63</v>
      </c>
      <c r="B70" s="196"/>
      <c r="C70" s="21">
        <f>SUM(C65:C69)</f>
        <v>1287.43</v>
      </c>
      <c r="D70" s="15"/>
    </row>
    <row r="71" spans="1:4" ht="13.5" customHeight="1" x14ac:dyDescent="0.25">
      <c r="A71" s="15"/>
      <c r="B71" s="15"/>
      <c r="C71" s="15"/>
      <c r="D71" s="15"/>
    </row>
    <row r="72" spans="1:4" ht="13.5" customHeight="1" x14ac:dyDescent="0.25">
      <c r="A72" s="15"/>
      <c r="B72" s="15"/>
      <c r="C72" s="15"/>
      <c r="D72" s="15"/>
    </row>
    <row r="73" spans="1:4" ht="16.5" customHeight="1" x14ac:dyDescent="0.25">
      <c r="A73" s="194" t="s">
        <v>93</v>
      </c>
      <c r="B73" s="194"/>
      <c r="C73" s="194"/>
      <c r="D73" s="15"/>
    </row>
    <row r="74" spans="1:4" ht="16.5" customHeight="1" thickBot="1" x14ac:dyDescent="0.3">
      <c r="A74" s="15"/>
      <c r="B74" s="15"/>
      <c r="C74" s="15"/>
      <c r="D74" s="15"/>
    </row>
    <row r="75" spans="1:4" ht="16.5" customHeight="1" thickBot="1" x14ac:dyDescent="0.3">
      <c r="A75" s="16">
        <v>2</v>
      </c>
      <c r="B75" s="17" t="s">
        <v>94</v>
      </c>
      <c r="C75" s="17" t="s">
        <v>55</v>
      </c>
      <c r="D75" s="15"/>
    </row>
    <row r="76" spans="1:4" ht="16.5" customHeight="1" thickBot="1" x14ac:dyDescent="0.3">
      <c r="A76" s="18" t="s">
        <v>66</v>
      </c>
      <c r="B76" s="19" t="s">
        <v>95</v>
      </c>
      <c r="C76" s="20">
        <f>C45</f>
        <v>314.80185</v>
      </c>
      <c r="D76" s="15"/>
    </row>
    <row r="77" spans="1:4" ht="16.5" customHeight="1" thickBot="1" x14ac:dyDescent="0.3">
      <c r="A77" s="18" t="s">
        <v>71</v>
      </c>
      <c r="B77" s="19" t="s">
        <v>72</v>
      </c>
      <c r="C77" s="20">
        <f>D59</f>
        <v>1158.5750807999998</v>
      </c>
      <c r="D77" s="15"/>
    </row>
    <row r="78" spans="1:4" ht="16.5" customHeight="1" thickBot="1" x14ac:dyDescent="0.3">
      <c r="A78" s="18" t="s">
        <v>86</v>
      </c>
      <c r="B78" s="19" t="s">
        <v>87</v>
      </c>
      <c r="C78" s="20">
        <f>C70</f>
        <v>1287.43</v>
      </c>
      <c r="D78" s="15"/>
    </row>
    <row r="79" spans="1:4" ht="16.5" customHeight="1" thickBot="1" x14ac:dyDescent="0.3">
      <c r="A79" s="195" t="s">
        <v>63</v>
      </c>
      <c r="B79" s="196"/>
      <c r="C79" s="21">
        <f>SUM(C76:C78)</f>
        <v>2760.8069307999999</v>
      </c>
      <c r="D79" s="15"/>
    </row>
    <row r="80" spans="1:4" ht="12.75" customHeight="1" x14ac:dyDescent="0.25">
      <c r="A80" s="25"/>
      <c r="B80" s="15"/>
      <c r="C80" s="15"/>
      <c r="D80" s="15"/>
    </row>
    <row r="81" spans="1:4" ht="12.75" customHeight="1" x14ac:dyDescent="0.25">
      <c r="A81" s="15"/>
      <c r="B81" s="15"/>
      <c r="C81" s="15"/>
      <c r="D81" s="15"/>
    </row>
    <row r="82" spans="1:4" ht="16.5" customHeight="1" x14ac:dyDescent="0.25">
      <c r="A82" s="198" t="s">
        <v>96</v>
      </c>
      <c r="B82" s="198"/>
      <c r="C82" s="198"/>
      <c r="D82" s="15"/>
    </row>
    <row r="83" spans="1:4" ht="16.5" customHeight="1" thickBot="1" x14ac:dyDescent="0.3">
      <c r="A83" s="15"/>
      <c r="B83" s="15"/>
      <c r="C83" s="15"/>
      <c r="D83" s="15"/>
    </row>
    <row r="84" spans="1:4" ht="16.5" customHeight="1" thickBot="1" x14ac:dyDescent="0.3">
      <c r="A84" s="26">
        <v>3</v>
      </c>
      <c r="B84" s="27" t="s">
        <v>97</v>
      </c>
      <c r="C84" s="27" t="s">
        <v>55</v>
      </c>
      <c r="D84" s="15"/>
    </row>
    <row r="85" spans="1:4" ht="16.5" customHeight="1" thickBot="1" x14ac:dyDescent="0.3">
      <c r="A85" s="18" t="s">
        <v>32</v>
      </c>
      <c r="B85" s="28" t="s">
        <v>98</v>
      </c>
      <c r="C85" s="20">
        <f>(C35+C45+D59+C70)*0.26%</f>
        <v>14.545198020079997</v>
      </c>
      <c r="D85" s="15"/>
    </row>
    <row r="86" spans="1:4" ht="16.5" customHeight="1" thickBot="1" x14ac:dyDescent="0.3">
      <c r="A86" s="18" t="s">
        <v>34</v>
      </c>
      <c r="B86" s="28" t="s">
        <v>99</v>
      </c>
      <c r="C86" s="20">
        <f>(C35+C45)*0.02%</f>
        <v>0.62966036999999997</v>
      </c>
      <c r="D86" s="15"/>
    </row>
    <row r="87" spans="1:4" ht="16.5" customHeight="1" thickBot="1" x14ac:dyDescent="0.3">
      <c r="A87" s="18" t="s">
        <v>37</v>
      </c>
      <c r="B87" s="28" t="s">
        <v>100</v>
      </c>
      <c r="C87" s="20">
        <f>(C35+C45)*0.01%</f>
        <v>0.31483018499999998</v>
      </c>
      <c r="D87" s="15"/>
    </row>
    <row r="88" spans="1:4" ht="16.5" customHeight="1" thickBot="1" x14ac:dyDescent="0.3">
      <c r="A88" s="18" t="s">
        <v>40</v>
      </c>
      <c r="B88" s="28" t="s">
        <v>101</v>
      </c>
      <c r="C88" s="20">
        <f>(C35+C79)*1.03%</f>
        <v>57.621361387239993</v>
      </c>
      <c r="D88" s="15"/>
    </row>
    <row r="89" spans="1:4" ht="30.75" thickBot="1" x14ac:dyDescent="0.3">
      <c r="A89" s="18" t="s">
        <v>42</v>
      </c>
      <c r="B89" s="28" t="s">
        <v>102</v>
      </c>
      <c r="C89" s="20">
        <f>(C35+C45)*0.38%</f>
        <v>11.963547029999999</v>
      </c>
      <c r="D89" s="15"/>
    </row>
    <row r="90" spans="1:4" ht="16.5" customHeight="1" thickBot="1" x14ac:dyDescent="0.3">
      <c r="A90" s="18" t="s">
        <v>79</v>
      </c>
      <c r="B90" s="28" t="s">
        <v>103</v>
      </c>
      <c r="C90" s="20">
        <f>(C35+C45)*0.05%</f>
        <v>1.5741509249999999</v>
      </c>
      <c r="D90" s="15"/>
    </row>
    <row r="91" spans="1:4" ht="16.5" customHeight="1" thickBot="1" x14ac:dyDescent="0.3">
      <c r="A91" s="203" t="s">
        <v>63</v>
      </c>
      <c r="B91" s="204"/>
      <c r="C91" s="29">
        <f>SUM(C85:C90)</f>
        <v>86.648747917319994</v>
      </c>
      <c r="D91" s="15"/>
    </row>
    <row r="92" spans="1:4" ht="12" customHeight="1" x14ac:dyDescent="0.25">
      <c r="A92" s="15"/>
      <c r="B92" s="15"/>
      <c r="C92" s="15"/>
      <c r="D92" s="15"/>
    </row>
    <row r="93" spans="1:4" ht="12" customHeight="1" x14ac:dyDescent="0.25">
      <c r="A93" s="15"/>
      <c r="B93" s="15"/>
      <c r="C93" s="15"/>
      <c r="D93" s="15"/>
    </row>
    <row r="94" spans="1:4" ht="16.5" customHeight="1" x14ac:dyDescent="0.25">
      <c r="A94" s="198" t="s">
        <v>104</v>
      </c>
      <c r="B94" s="198"/>
      <c r="C94" s="198"/>
      <c r="D94" s="15"/>
    </row>
    <row r="95" spans="1:4" ht="16.5" customHeight="1" x14ac:dyDescent="0.25">
      <c r="A95" s="15"/>
      <c r="B95" s="15"/>
      <c r="C95" s="15"/>
      <c r="D95" s="15"/>
    </row>
    <row r="96" spans="1:4" ht="16.5" customHeight="1" x14ac:dyDescent="0.25">
      <c r="A96" s="194" t="s">
        <v>105</v>
      </c>
      <c r="B96" s="194"/>
      <c r="C96" s="194"/>
      <c r="D96" s="15"/>
    </row>
    <row r="97" spans="1:4" ht="16.5" customHeight="1" thickBot="1" x14ac:dyDescent="0.3">
      <c r="A97" s="22"/>
      <c r="B97" s="15"/>
      <c r="C97" s="15"/>
      <c r="D97" s="15"/>
    </row>
    <row r="98" spans="1:4" ht="16.5" customHeight="1" thickBot="1" x14ac:dyDescent="0.3">
      <c r="A98" s="16" t="s">
        <v>106</v>
      </c>
      <c r="B98" s="17" t="s">
        <v>107</v>
      </c>
      <c r="C98" s="17" t="s">
        <v>55</v>
      </c>
      <c r="D98" s="15"/>
    </row>
    <row r="99" spans="1:4" ht="16.5" customHeight="1" thickBot="1" x14ac:dyDescent="0.3">
      <c r="A99" s="18" t="s">
        <v>32</v>
      </c>
      <c r="B99" s="19" t="s">
        <v>108</v>
      </c>
      <c r="C99" s="20">
        <f>(C35+C79+C91)*8.33%</f>
        <v>473.2236080371527</v>
      </c>
      <c r="D99" s="15"/>
    </row>
    <row r="100" spans="1:4" ht="16.5" customHeight="1" thickBot="1" x14ac:dyDescent="0.3">
      <c r="A100" s="18" t="s">
        <v>34</v>
      </c>
      <c r="B100" s="19" t="s">
        <v>109</v>
      </c>
      <c r="C100" s="20">
        <f>(C35+C79+C91)*2.22%</f>
        <v>126.1172160675245</v>
      </c>
      <c r="D100" s="15"/>
    </row>
    <row r="101" spans="1:4" ht="16.5" customHeight="1" thickBot="1" x14ac:dyDescent="0.3">
      <c r="A101" s="18" t="s">
        <v>37</v>
      </c>
      <c r="B101" s="19" t="s">
        <v>110</v>
      </c>
      <c r="C101" s="20">
        <f>(C35+C79+C91)*0.04%</f>
        <v>2.272382271486928</v>
      </c>
      <c r="D101" s="15"/>
    </row>
    <row r="102" spans="1:4" ht="16.5" customHeight="1" thickBot="1" x14ac:dyDescent="0.3">
      <c r="A102" s="18" t="s">
        <v>40</v>
      </c>
      <c r="B102" s="19" t="s">
        <v>111</v>
      </c>
      <c r="C102" s="20">
        <f>(C35+C79+C91)*0.02%</f>
        <v>1.136191135743464</v>
      </c>
      <c r="D102" s="15"/>
    </row>
    <row r="103" spans="1:4" ht="16.5" customHeight="1" thickBot="1" x14ac:dyDescent="0.3">
      <c r="A103" s="18" t="s">
        <v>42</v>
      </c>
      <c r="B103" s="19" t="s">
        <v>112</v>
      </c>
      <c r="C103" s="20">
        <f>(C35+C79+C91)*0.14%</f>
        <v>7.9533379502042489</v>
      </c>
      <c r="D103" s="15"/>
    </row>
    <row r="104" spans="1:4" ht="16.5" customHeight="1" thickBot="1" x14ac:dyDescent="0.3">
      <c r="A104" s="18" t="s">
        <v>79</v>
      </c>
      <c r="B104" s="19" t="s">
        <v>62</v>
      </c>
      <c r="C104" s="20"/>
      <c r="D104" s="15"/>
    </row>
    <row r="105" spans="1:4" ht="16.5" customHeight="1" thickBot="1" x14ac:dyDescent="0.3">
      <c r="A105" s="195" t="s">
        <v>84</v>
      </c>
      <c r="B105" s="196"/>
      <c r="C105" s="21">
        <f>SUM(C99:C104)</f>
        <v>610.70273546211183</v>
      </c>
      <c r="D105" s="15"/>
    </row>
    <row r="106" spans="1:4" ht="12.75" customHeight="1" x14ac:dyDescent="0.25">
      <c r="A106" s="15"/>
      <c r="B106" s="15"/>
      <c r="C106" s="15"/>
      <c r="D106" s="15"/>
    </row>
    <row r="107" spans="1:4" ht="12.75" customHeight="1" x14ac:dyDescent="0.25">
      <c r="A107" s="15"/>
      <c r="B107" s="15"/>
      <c r="C107" s="15"/>
      <c r="D107" s="15"/>
    </row>
    <row r="108" spans="1:4" ht="16.5" customHeight="1" x14ac:dyDescent="0.25">
      <c r="A108" s="194" t="s">
        <v>113</v>
      </c>
      <c r="B108" s="194"/>
      <c r="C108" s="194"/>
      <c r="D108" s="15"/>
    </row>
    <row r="109" spans="1:4" ht="16.5" customHeight="1" thickBot="1" x14ac:dyDescent="0.3">
      <c r="A109" s="22"/>
      <c r="B109" s="15"/>
      <c r="C109" s="15"/>
      <c r="D109" s="15"/>
    </row>
    <row r="110" spans="1:4" ht="16.5" customHeight="1" thickBot="1" x14ac:dyDescent="0.3">
      <c r="A110" s="16" t="s">
        <v>114</v>
      </c>
      <c r="B110" s="17" t="s">
        <v>115</v>
      </c>
      <c r="C110" s="17" t="s">
        <v>55</v>
      </c>
      <c r="D110" s="15"/>
    </row>
    <row r="111" spans="1:4" ht="16.5" customHeight="1" thickBot="1" x14ac:dyDescent="0.3">
      <c r="A111" s="18" t="s">
        <v>32</v>
      </c>
      <c r="B111" s="19" t="s">
        <v>116</v>
      </c>
      <c r="C111" s="20"/>
      <c r="D111" s="15"/>
    </row>
    <row r="112" spans="1:4" ht="16.5" customHeight="1" thickBot="1" x14ac:dyDescent="0.3">
      <c r="A112" s="195" t="s">
        <v>63</v>
      </c>
      <c r="B112" s="196"/>
      <c r="C112" s="21"/>
      <c r="D112" s="15"/>
    </row>
    <row r="113" spans="1:4" ht="16.5" customHeight="1" x14ac:dyDescent="0.25">
      <c r="A113" s="15"/>
      <c r="B113" s="15"/>
      <c r="C113" s="15"/>
      <c r="D113" s="15"/>
    </row>
    <row r="114" spans="1:4" ht="16.5" customHeight="1" x14ac:dyDescent="0.25">
      <c r="A114" s="15"/>
      <c r="B114" s="15"/>
      <c r="C114" s="15"/>
      <c r="D114" s="15"/>
    </row>
    <row r="115" spans="1:4" ht="16.5" customHeight="1" x14ac:dyDescent="0.25">
      <c r="A115" s="194" t="s">
        <v>117</v>
      </c>
      <c r="B115" s="194"/>
      <c r="C115" s="194"/>
      <c r="D115" s="15"/>
    </row>
    <row r="116" spans="1:4" ht="16.5" customHeight="1" thickBot="1" x14ac:dyDescent="0.3">
      <c r="A116" s="22"/>
      <c r="B116" s="15"/>
      <c r="C116" s="15"/>
      <c r="D116" s="15"/>
    </row>
    <row r="117" spans="1:4" ht="16.5" customHeight="1" thickBot="1" x14ac:dyDescent="0.3">
      <c r="A117" s="16">
        <v>4</v>
      </c>
      <c r="B117" s="17" t="s">
        <v>118</v>
      </c>
      <c r="C117" s="17" t="s">
        <v>55</v>
      </c>
      <c r="D117" s="15"/>
    </row>
    <row r="118" spans="1:4" ht="16.5" customHeight="1" thickBot="1" x14ac:dyDescent="0.3">
      <c r="A118" s="18" t="s">
        <v>106</v>
      </c>
      <c r="B118" s="19" t="s">
        <v>107</v>
      </c>
      <c r="C118" s="20">
        <f>C105</f>
        <v>610.70273546211183</v>
      </c>
      <c r="D118" s="15"/>
    </row>
    <row r="119" spans="1:4" ht="16.5" customHeight="1" thickBot="1" x14ac:dyDescent="0.3">
      <c r="A119" s="18" t="s">
        <v>114</v>
      </c>
      <c r="B119" s="19" t="s">
        <v>115</v>
      </c>
      <c r="C119" s="20"/>
      <c r="D119" s="15"/>
    </row>
    <row r="120" spans="1:4" ht="16.5" customHeight="1" thickBot="1" x14ac:dyDescent="0.3">
      <c r="A120" s="195" t="s">
        <v>63</v>
      </c>
      <c r="B120" s="196"/>
      <c r="C120" s="21">
        <f>SUM(C118:C119)</f>
        <v>610.70273546211183</v>
      </c>
      <c r="D120" s="15"/>
    </row>
    <row r="121" spans="1:4" ht="12.75" customHeight="1" x14ac:dyDescent="0.25">
      <c r="A121" s="15"/>
      <c r="B121" s="15"/>
      <c r="C121" s="15"/>
      <c r="D121" s="15"/>
    </row>
    <row r="122" spans="1:4" ht="12.75" customHeight="1" x14ac:dyDescent="0.25">
      <c r="A122" s="15"/>
      <c r="B122" s="15"/>
      <c r="C122" s="15"/>
      <c r="D122" s="15"/>
    </row>
    <row r="123" spans="1:4" ht="16.5" customHeight="1" x14ac:dyDescent="0.25">
      <c r="A123" s="198" t="s">
        <v>119</v>
      </c>
      <c r="B123" s="198"/>
      <c r="C123" s="198"/>
      <c r="D123" s="15"/>
    </row>
    <row r="124" spans="1:4" ht="16.5" customHeight="1" thickBot="1" x14ac:dyDescent="0.3">
      <c r="A124" s="15"/>
      <c r="B124" s="15"/>
      <c r="C124" s="15"/>
      <c r="D124" s="15"/>
    </row>
    <row r="125" spans="1:4" ht="16.5" customHeight="1" thickBot="1" x14ac:dyDescent="0.3">
      <c r="A125" s="46">
        <v>5</v>
      </c>
      <c r="B125" s="47" t="s">
        <v>120</v>
      </c>
      <c r="C125" s="48" t="s">
        <v>55</v>
      </c>
      <c r="D125" s="15"/>
    </row>
    <row r="126" spans="1:4" ht="16.5" customHeight="1" thickBot="1" x14ac:dyDescent="0.3">
      <c r="A126" s="18" t="s">
        <v>32</v>
      </c>
      <c r="B126" s="19" t="s">
        <v>121</v>
      </c>
      <c r="C126" s="20">
        <f>Uniformes!E25</f>
        <v>54.012888888888895</v>
      </c>
      <c r="D126" s="15"/>
    </row>
    <row r="127" spans="1:4" ht="16.5" customHeight="1" thickBot="1" x14ac:dyDescent="0.3">
      <c r="A127" s="18" t="s">
        <v>34</v>
      </c>
      <c r="B127" s="19" t="s">
        <v>122</v>
      </c>
      <c r="C127" s="20">
        <f>'Materiais de Consumo'!G298</f>
        <v>402.91168316831687</v>
      </c>
      <c r="D127" s="15"/>
    </row>
    <row r="128" spans="1:4" ht="16.5" customHeight="1" thickBot="1" x14ac:dyDescent="0.3">
      <c r="A128" s="18" t="s">
        <v>37</v>
      </c>
      <c r="B128" s="19" t="s">
        <v>123</v>
      </c>
      <c r="C128" s="20">
        <f>Equipamentos!F15</f>
        <v>8.8290334158415842</v>
      </c>
      <c r="D128" s="15"/>
    </row>
    <row r="129" spans="1:4" ht="16.5" customHeight="1" thickBot="1" x14ac:dyDescent="0.3">
      <c r="A129" s="18" t="s">
        <v>40</v>
      </c>
      <c r="B129" s="19" t="s">
        <v>62</v>
      </c>
      <c r="C129" s="20"/>
      <c r="D129" s="15"/>
    </row>
    <row r="130" spans="1:4" ht="16.5" customHeight="1" thickBot="1" x14ac:dyDescent="0.3">
      <c r="A130" s="201" t="s">
        <v>84</v>
      </c>
      <c r="B130" s="202"/>
      <c r="C130" s="146">
        <f>SUM(C126:C129)</f>
        <v>465.75360547304734</v>
      </c>
      <c r="D130" s="15"/>
    </row>
    <row r="131" spans="1:4" ht="13.5" customHeight="1" x14ac:dyDescent="0.25">
      <c r="A131" s="15"/>
      <c r="B131" s="15"/>
      <c r="C131" s="15"/>
      <c r="D131" s="15"/>
    </row>
    <row r="132" spans="1:4" ht="13.5" customHeight="1" x14ac:dyDescent="0.25">
      <c r="A132" s="15"/>
      <c r="B132" s="15"/>
      <c r="C132" s="15"/>
      <c r="D132" s="15"/>
    </row>
    <row r="133" spans="1:4" ht="16.5" customHeight="1" x14ac:dyDescent="0.25">
      <c r="A133" s="198" t="s">
        <v>124</v>
      </c>
      <c r="B133" s="198"/>
      <c r="C133" s="198"/>
      <c r="D133" s="15"/>
    </row>
    <row r="134" spans="1:4" ht="16.5" customHeight="1" thickBot="1" x14ac:dyDescent="0.3">
      <c r="A134" s="15"/>
      <c r="B134" s="15"/>
      <c r="C134" s="15"/>
      <c r="D134" s="15"/>
    </row>
    <row r="135" spans="1:4" ht="16.5" customHeight="1" thickBot="1" x14ac:dyDescent="0.3">
      <c r="A135" s="16">
        <v>6</v>
      </c>
      <c r="B135" s="30" t="s">
        <v>125</v>
      </c>
      <c r="C135" s="17" t="s">
        <v>126</v>
      </c>
      <c r="D135" s="17" t="s">
        <v>55</v>
      </c>
    </row>
    <row r="136" spans="1:4" ht="16.5" customHeight="1" thickBot="1" x14ac:dyDescent="0.3">
      <c r="A136" s="18" t="s">
        <v>32</v>
      </c>
      <c r="B136" s="19" t="s">
        <v>127</v>
      </c>
      <c r="C136" s="23">
        <v>4.7300000000000002E-2</v>
      </c>
      <c r="D136" s="20">
        <f>(C35+C79+C91+C120+C130)*C136</f>
        <v>319.62558852956226</v>
      </c>
    </row>
    <row r="137" spans="1:4" ht="15.75" thickBot="1" x14ac:dyDescent="0.3">
      <c r="A137" s="18" t="s">
        <v>34</v>
      </c>
      <c r="B137" s="19" t="s">
        <v>128</v>
      </c>
      <c r="C137" s="23">
        <v>3.9E-2</v>
      </c>
      <c r="D137" s="20">
        <f>(C35+C79+C91+C120+C130+D136)*C137</f>
        <v>276.00446671909964</v>
      </c>
    </row>
    <row r="138" spans="1:4" ht="15.75" thickBot="1" x14ac:dyDescent="0.3">
      <c r="A138" s="18" t="s">
        <v>37</v>
      </c>
      <c r="B138" s="19" t="s">
        <v>129</v>
      </c>
      <c r="C138" s="23">
        <f>SUM(C139:C141)</f>
        <v>8.6499999999999994E-2</v>
      </c>
      <c r="D138" s="20">
        <f>(C35+C79+C91+C120+C130+D136+D137)/(1-C138)*C138</f>
        <v>696.26506784778178</v>
      </c>
    </row>
    <row r="139" spans="1:4" ht="15.75" thickBot="1" x14ac:dyDescent="0.3">
      <c r="A139" s="18"/>
      <c r="B139" s="19" t="s">
        <v>130</v>
      </c>
      <c r="C139" s="23">
        <v>3.6499999999999998E-2</v>
      </c>
      <c r="D139" s="20"/>
    </row>
    <row r="140" spans="1:4" ht="15.75" thickBot="1" x14ac:dyDescent="0.3">
      <c r="A140" s="18"/>
      <c r="B140" s="19" t="s">
        <v>131</v>
      </c>
      <c r="C140" s="23"/>
      <c r="D140" s="20"/>
    </row>
    <row r="141" spans="1:4" ht="15.75" thickBot="1" x14ac:dyDescent="0.3">
      <c r="A141" s="18"/>
      <c r="B141" s="19" t="s">
        <v>132</v>
      </c>
      <c r="C141" s="23">
        <v>0.05</v>
      </c>
      <c r="D141" s="20"/>
    </row>
    <row r="142" spans="1:4" ht="16.5" thickBot="1" x14ac:dyDescent="0.3">
      <c r="A142" s="195" t="s">
        <v>84</v>
      </c>
      <c r="B142" s="196"/>
      <c r="C142" s="24">
        <f>SUM(C136:C138)</f>
        <v>0.17280000000000001</v>
      </c>
      <c r="D142" s="21">
        <f>SUM(D136:D138)</f>
        <v>1291.8951230964435</v>
      </c>
    </row>
    <row r="143" spans="1:4" ht="15.75" x14ac:dyDescent="0.25">
      <c r="A143" s="15"/>
      <c r="B143" s="15"/>
      <c r="C143" s="15"/>
      <c r="D143" s="15"/>
    </row>
    <row r="144" spans="1:4" ht="15.75" x14ac:dyDescent="0.25">
      <c r="A144" s="15"/>
      <c r="B144" s="15"/>
      <c r="C144" s="15"/>
      <c r="D144" s="15"/>
    </row>
    <row r="145" spans="1:4" ht="15.75" x14ac:dyDescent="0.25">
      <c r="A145" s="198" t="s">
        <v>133</v>
      </c>
      <c r="B145" s="198"/>
      <c r="C145" s="198"/>
      <c r="D145" s="15"/>
    </row>
    <row r="146" spans="1:4" ht="16.5" thickBot="1" x14ac:dyDescent="0.3">
      <c r="A146" s="15"/>
      <c r="B146" s="15"/>
      <c r="C146" s="15"/>
      <c r="D146" s="15"/>
    </row>
    <row r="147" spans="1:4" ht="32.25" thickBot="1" x14ac:dyDescent="0.3">
      <c r="A147" s="16"/>
      <c r="B147" s="17" t="s">
        <v>134</v>
      </c>
      <c r="C147" s="17" t="s">
        <v>55</v>
      </c>
      <c r="D147" s="15"/>
    </row>
    <row r="148" spans="1:4" ht="16.5" thickBot="1" x14ac:dyDescent="0.3">
      <c r="A148" s="31" t="s">
        <v>32</v>
      </c>
      <c r="B148" s="19" t="s">
        <v>53</v>
      </c>
      <c r="C148" s="32">
        <f>C35</f>
        <v>2833.5</v>
      </c>
      <c r="D148" s="15"/>
    </row>
    <row r="149" spans="1:4" ht="16.5" thickBot="1" x14ac:dyDescent="0.3">
      <c r="A149" s="31" t="s">
        <v>34</v>
      </c>
      <c r="B149" s="19" t="s">
        <v>64</v>
      </c>
      <c r="C149" s="32">
        <f>C79</f>
        <v>2760.8069307999999</v>
      </c>
      <c r="D149" s="15"/>
    </row>
    <row r="150" spans="1:4" ht="16.5" thickBot="1" x14ac:dyDescent="0.3">
      <c r="A150" s="31" t="s">
        <v>37</v>
      </c>
      <c r="B150" s="19" t="s">
        <v>96</v>
      </c>
      <c r="C150" s="32">
        <f>C91</f>
        <v>86.648747917319994</v>
      </c>
      <c r="D150" s="15"/>
    </row>
    <row r="151" spans="1:4" ht="16.5" thickBot="1" x14ac:dyDescent="0.3">
      <c r="A151" s="31" t="s">
        <v>40</v>
      </c>
      <c r="B151" s="19" t="s">
        <v>104</v>
      </c>
      <c r="C151" s="32">
        <f>C120</f>
        <v>610.70273546211183</v>
      </c>
      <c r="D151" s="15"/>
    </row>
    <row r="152" spans="1:4" ht="16.5" thickBot="1" x14ac:dyDescent="0.3">
      <c r="A152" s="31" t="s">
        <v>42</v>
      </c>
      <c r="B152" s="19" t="s">
        <v>119</v>
      </c>
      <c r="C152" s="32">
        <f>C130</f>
        <v>465.75360547304734</v>
      </c>
      <c r="D152" s="15"/>
    </row>
    <row r="153" spans="1:4" ht="16.5" thickBot="1" x14ac:dyDescent="0.3">
      <c r="A153" s="195" t="s">
        <v>135</v>
      </c>
      <c r="B153" s="196"/>
      <c r="C153" s="33">
        <f>SUM(C148:C152)</f>
        <v>6757.4120196524791</v>
      </c>
      <c r="D153" s="15"/>
    </row>
    <row r="154" spans="1:4" ht="16.5" thickBot="1" x14ac:dyDescent="0.3">
      <c r="A154" s="31" t="s">
        <v>79</v>
      </c>
      <c r="B154" s="19" t="s">
        <v>136</v>
      </c>
      <c r="C154" s="32">
        <f>D142</f>
        <v>1291.8951230964435</v>
      </c>
      <c r="D154" s="15"/>
    </row>
    <row r="155" spans="1:4" ht="16.5" thickBot="1" x14ac:dyDescent="0.3">
      <c r="A155" s="195" t="s">
        <v>137</v>
      </c>
      <c r="B155" s="196"/>
      <c r="C155" s="127">
        <f>SUM(C153:C154)</f>
        <v>8049.3071427489231</v>
      </c>
      <c r="D155" s="15"/>
    </row>
  </sheetData>
  <mergeCells count="32">
    <mergeCell ref="A155:B155"/>
    <mergeCell ref="A130:B130"/>
    <mergeCell ref="A133:C133"/>
    <mergeCell ref="A142:B142"/>
    <mergeCell ref="A145:C145"/>
    <mergeCell ref="A153:B153"/>
    <mergeCell ref="A82:C82"/>
    <mergeCell ref="A91:B91"/>
    <mergeCell ref="A94:C94"/>
    <mergeCell ref="A105:B105"/>
    <mergeCell ref="A108:C108"/>
    <mergeCell ref="A18:C18"/>
    <mergeCell ref="A1:D1"/>
    <mergeCell ref="A2:D2"/>
    <mergeCell ref="A7:C7"/>
    <mergeCell ref="A16:C16"/>
    <mergeCell ref="A112:B112"/>
    <mergeCell ref="A115:C115"/>
    <mergeCell ref="A120:B120"/>
    <mergeCell ref="A123:C123"/>
    <mergeCell ref="A25:C25"/>
    <mergeCell ref="A35:B35"/>
    <mergeCell ref="A38:C38"/>
    <mergeCell ref="A40:C40"/>
    <mergeCell ref="A96:C96"/>
    <mergeCell ref="A45:B45"/>
    <mergeCell ref="A48:D48"/>
    <mergeCell ref="A70:B70"/>
    <mergeCell ref="A73:C73"/>
    <mergeCell ref="A79:B79"/>
    <mergeCell ref="A59:B59"/>
    <mergeCell ref="A62:C62"/>
  </mergeCells>
  <printOptions horizontalCentered="1"/>
  <pageMargins left="0.51181102362204722" right="0.51181102362204722" top="0.59055118110236227" bottom="0.39370078740157483" header="0.31496062992125984" footer="0.31496062992125984"/>
  <pageSetup paperSize="9" scale="78" fitToHeight="0" orientation="portrait" horizontalDpi="300" verticalDpi="300" r:id="rId1"/>
  <headerFooter>
    <oddHeader>&amp;C&amp;"Arial,Negrito"&amp;14&amp;UPLANILHA DE CUSTO - ENCARREGADO DE LIMPEZA DE SEGUNDA-FEIRA À DOMINGO - ITEM 1</oddHeader>
  </headerFooter>
  <rowBreaks count="2" manualBreakCount="2">
    <brk id="46" max="16383"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55"/>
  <sheetViews>
    <sheetView showGridLines="0" zoomScaleNormal="100" workbookViewId="0">
      <selection activeCell="C155" sqref="C155"/>
    </sheetView>
  </sheetViews>
  <sheetFormatPr defaultRowHeight="15" x14ac:dyDescent="0.2"/>
  <cols>
    <col min="1" max="1" width="12.140625" style="15" customWidth="1"/>
    <col min="2" max="2" width="72.140625" style="15" customWidth="1"/>
    <col min="3" max="3" width="21.140625" style="15" customWidth="1"/>
    <col min="4" max="4" width="20.140625" style="15" customWidth="1"/>
    <col min="5" max="5" width="12.7109375" style="15" customWidth="1"/>
    <col min="6" max="6" width="12" style="15" customWidth="1"/>
    <col min="7" max="7" width="15.140625" style="15" customWidth="1"/>
    <col min="8" max="16384" width="9.140625" style="15"/>
  </cols>
  <sheetData>
    <row r="1" spans="1:4" ht="23.25" x14ac:dyDescent="0.35">
      <c r="A1" s="200" t="s">
        <v>26</v>
      </c>
      <c r="B1" s="200"/>
      <c r="C1" s="200"/>
      <c r="D1" s="200"/>
    </row>
    <row r="2" spans="1:4" x14ac:dyDescent="0.2">
      <c r="A2" s="205" t="s">
        <v>27</v>
      </c>
      <c r="B2" s="205"/>
      <c r="C2" s="205"/>
      <c r="D2" s="205"/>
    </row>
    <row r="4" spans="1:4" ht="17.25" customHeight="1" x14ac:dyDescent="0.2">
      <c r="A4" s="34"/>
      <c r="B4" s="35" t="s">
        <v>28</v>
      </c>
      <c r="C4" s="37" t="s">
        <v>29</v>
      </c>
    </row>
    <row r="5" spans="1:4" ht="17.25" customHeight="1" x14ac:dyDescent="0.2">
      <c r="A5" s="34"/>
      <c r="B5" s="35" t="s">
        <v>30</v>
      </c>
      <c r="C5" s="36"/>
    </row>
    <row r="7" spans="1:4" ht="18" customHeight="1" x14ac:dyDescent="0.2">
      <c r="A7" s="198" t="s">
        <v>143</v>
      </c>
      <c r="B7" s="198"/>
      <c r="C7" s="198"/>
    </row>
    <row r="8" spans="1:4" ht="15" customHeight="1" x14ac:dyDescent="0.2">
      <c r="A8" s="38"/>
      <c r="B8" s="38"/>
      <c r="C8" s="38"/>
    </row>
    <row r="9" spans="1:4" ht="18" customHeight="1" x14ac:dyDescent="0.2">
      <c r="A9" s="37" t="s">
        <v>32</v>
      </c>
      <c r="B9" s="39" t="s">
        <v>33</v>
      </c>
      <c r="C9" s="37"/>
    </row>
    <row r="10" spans="1:4" ht="18" customHeight="1" x14ac:dyDescent="0.2">
      <c r="A10" s="37" t="s">
        <v>34</v>
      </c>
      <c r="B10" s="39" t="s">
        <v>35</v>
      </c>
      <c r="C10" s="37" t="s">
        <v>36</v>
      </c>
    </row>
    <row r="11" spans="1:4" ht="30" x14ac:dyDescent="0.2">
      <c r="A11" s="37" t="s">
        <v>37</v>
      </c>
      <c r="B11" s="39" t="s">
        <v>38</v>
      </c>
      <c r="C11" s="43" t="s">
        <v>39</v>
      </c>
    </row>
    <row r="12" spans="1:4" ht="18" customHeight="1" x14ac:dyDescent="0.2">
      <c r="A12" s="37" t="s">
        <v>40</v>
      </c>
      <c r="B12" s="39" t="s">
        <v>41</v>
      </c>
      <c r="C12" s="37">
        <v>30</v>
      </c>
    </row>
    <row r="13" spans="1:4" ht="30" x14ac:dyDescent="0.2">
      <c r="A13" s="37" t="s">
        <v>42</v>
      </c>
      <c r="B13" s="122" t="s">
        <v>144</v>
      </c>
      <c r="C13" s="105">
        <f>'QTD SERVENTE - ITEM 2'!M61</f>
        <v>66</v>
      </c>
    </row>
    <row r="14" spans="1:4" ht="12.75" customHeight="1" x14ac:dyDescent="0.2"/>
    <row r="15" spans="1:4" ht="12.75" customHeight="1" x14ac:dyDescent="0.2">
      <c r="A15" s="45"/>
      <c r="B15" s="45"/>
    </row>
    <row r="16" spans="1:4" ht="17.25" customHeight="1" x14ac:dyDescent="0.2">
      <c r="A16" s="198" t="s">
        <v>44</v>
      </c>
      <c r="B16" s="198"/>
      <c r="C16" s="198"/>
    </row>
    <row r="17" spans="1:3" ht="12.75" customHeight="1" x14ac:dyDescent="0.2"/>
    <row r="18" spans="1:3" ht="15.75" x14ac:dyDescent="0.25">
      <c r="A18" s="199" t="s">
        <v>45</v>
      </c>
      <c r="B18" s="199"/>
      <c r="C18" s="199"/>
    </row>
    <row r="19" spans="1:3" ht="15" customHeight="1" x14ac:dyDescent="0.25">
      <c r="A19" s="40"/>
      <c r="B19" s="40"/>
      <c r="C19" s="40"/>
    </row>
    <row r="20" spans="1:3" ht="30" x14ac:dyDescent="0.2">
      <c r="A20" s="41">
        <v>1</v>
      </c>
      <c r="B20" s="42" t="s">
        <v>46</v>
      </c>
      <c r="C20" s="43" t="s">
        <v>47</v>
      </c>
    </row>
    <row r="21" spans="1:3" ht="18" customHeight="1" x14ac:dyDescent="0.2">
      <c r="A21" s="41">
        <v>2</v>
      </c>
      <c r="B21" s="42" t="s">
        <v>48</v>
      </c>
      <c r="C21" s="37" t="s">
        <v>49</v>
      </c>
    </row>
    <row r="22" spans="1:3" ht="30" x14ac:dyDescent="0.2">
      <c r="A22" s="41">
        <v>3</v>
      </c>
      <c r="B22" s="42" t="s">
        <v>50</v>
      </c>
      <c r="C22" s="43" t="s">
        <v>145</v>
      </c>
    </row>
    <row r="23" spans="1:3" ht="17.25" customHeight="1" x14ac:dyDescent="0.2">
      <c r="A23" s="37">
        <v>4</v>
      </c>
      <c r="B23" s="42" t="s">
        <v>52</v>
      </c>
      <c r="C23" s="44">
        <v>44562</v>
      </c>
    </row>
    <row r="25" spans="1:3" ht="15.75" x14ac:dyDescent="0.2">
      <c r="A25" s="198" t="s">
        <v>53</v>
      </c>
      <c r="B25" s="198"/>
      <c r="C25" s="198"/>
    </row>
    <row r="26" spans="1:3" ht="15.75" thickBot="1" x14ac:dyDescent="0.25"/>
    <row r="27" spans="1:3" ht="16.5" thickBot="1" x14ac:dyDescent="0.25">
      <c r="A27" s="16">
        <v>1</v>
      </c>
      <c r="B27" s="17" t="s">
        <v>54</v>
      </c>
      <c r="C27" s="17" t="s">
        <v>55</v>
      </c>
    </row>
    <row r="28" spans="1:3" ht="15.75" thickBot="1" x14ac:dyDescent="0.25">
      <c r="A28" s="18" t="s">
        <v>32</v>
      </c>
      <c r="B28" s="19" t="s">
        <v>56</v>
      </c>
      <c r="C28" s="20">
        <v>1416.75</v>
      </c>
    </row>
    <row r="29" spans="1:3" ht="15.75" thickBot="1" x14ac:dyDescent="0.25">
      <c r="A29" s="18" t="s">
        <v>34</v>
      </c>
      <c r="B29" s="19" t="s">
        <v>57</v>
      </c>
      <c r="C29" s="20"/>
    </row>
    <row r="30" spans="1:3" ht="15.75" thickBot="1" x14ac:dyDescent="0.25">
      <c r="A30" s="18" t="s">
        <v>37</v>
      </c>
      <c r="B30" s="19" t="s">
        <v>58</v>
      </c>
      <c r="C30" s="20"/>
    </row>
    <row r="31" spans="1:3" ht="15.75" thickBot="1" x14ac:dyDescent="0.25">
      <c r="A31" s="18" t="s">
        <v>40</v>
      </c>
      <c r="B31" s="19" t="s">
        <v>59</v>
      </c>
      <c r="C31" s="20"/>
    </row>
    <row r="32" spans="1:3" ht="15.75" thickBot="1" x14ac:dyDescent="0.25">
      <c r="A32" s="18" t="s">
        <v>42</v>
      </c>
      <c r="B32" s="19" t="s">
        <v>60</v>
      </c>
      <c r="C32" s="20"/>
    </row>
    <row r="33" spans="1:4" ht="15.75" thickBot="1" x14ac:dyDescent="0.25">
      <c r="A33" s="18"/>
      <c r="B33" s="19"/>
      <c r="C33" s="20"/>
    </row>
    <row r="34" spans="1:4" ht="15.75" thickBot="1" x14ac:dyDescent="0.25">
      <c r="A34" s="18" t="s">
        <v>61</v>
      </c>
      <c r="B34" s="19" t="s">
        <v>62</v>
      </c>
      <c r="C34" s="20"/>
    </row>
    <row r="35" spans="1:4" ht="16.5" thickBot="1" x14ac:dyDescent="0.25">
      <c r="A35" s="195" t="s">
        <v>63</v>
      </c>
      <c r="B35" s="196"/>
      <c r="C35" s="21">
        <f>SUM(C28:C34)</f>
        <v>1416.75</v>
      </c>
    </row>
    <row r="36" spans="1:4" ht="12.75" customHeight="1" x14ac:dyDescent="0.2"/>
    <row r="37" spans="1:4" ht="12.75" customHeight="1" x14ac:dyDescent="0.2"/>
    <row r="38" spans="1:4" ht="15.75" x14ac:dyDescent="0.2">
      <c r="A38" s="198" t="s">
        <v>64</v>
      </c>
      <c r="B38" s="198"/>
      <c r="C38" s="198"/>
    </row>
    <row r="39" spans="1:4" ht="15.75" x14ac:dyDescent="0.2">
      <c r="A39" s="22"/>
    </row>
    <row r="40" spans="1:4" ht="15.75" x14ac:dyDescent="0.2">
      <c r="A40" s="194" t="s">
        <v>65</v>
      </c>
      <c r="B40" s="194"/>
      <c r="C40" s="194"/>
    </row>
    <row r="41" spans="1:4" ht="15.75" thickBot="1" x14ac:dyDescent="0.25"/>
    <row r="42" spans="1:4" ht="16.5" thickBot="1" x14ac:dyDescent="0.25">
      <c r="A42" s="16" t="s">
        <v>66</v>
      </c>
      <c r="B42" s="17" t="s">
        <v>67</v>
      </c>
      <c r="C42" s="17" t="s">
        <v>55</v>
      </c>
    </row>
    <row r="43" spans="1:4" ht="15.75" thickBot="1" x14ac:dyDescent="0.25">
      <c r="A43" s="18" t="s">
        <v>32</v>
      </c>
      <c r="B43" s="19" t="s">
        <v>68</v>
      </c>
      <c r="C43" s="20">
        <f>C35*8.33%</f>
        <v>118.015275</v>
      </c>
    </row>
    <row r="44" spans="1:4" ht="15.75" thickBot="1" x14ac:dyDescent="0.25">
      <c r="A44" s="18" t="s">
        <v>34</v>
      </c>
      <c r="B44" s="19" t="s">
        <v>69</v>
      </c>
      <c r="C44" s="20">
        <f>C35*2.78%</f>
        <v>39.385649999999998</v>
      </c>
    </row>
    <row r="45" spans="1:4" ht="16.5" thickBot="1" x14ac:dyDescent="0.25">
      <c r="A45" s="195" t="s">
        <v>63</v>
      </c>
      <c r="B45" s="196"/>
      <c r="C45" s="21">
        <f>SUM(C43:C44)</f>
        <v>157.400925</v>
      </c>
    </row>
    <row r="46" spans="1:4" ht="12.75" customHeight="1" x14ac:dyDescent="0.2"/>
    <row r="47" spans="1:4" ht="12.75" customHeight="1" x14ac:dyDescent="0.2"/>
    <row r="48" spans="1:4" ht="32.25" customHeight="1" x14ac:dyDescent="0.2">
      <c r="A48" s="197" t="s">
        <v>70</v>
      </c>
      <c r="B48" s="197"/>
      <c r="C48" s="197"/>
      <c r="D48" s="197"/>
    </row>
    <row r="49" spans="1:4" ht="15.75" thickBot="1" x14ac:dyDescent="0.25"/>
    <row r="50" spans="1:4" ht="16.5" thickBot="1" x14ac:dyDescent="0.25">
      <c r="A50" s="16" t="s">
        <v>71</v>
      </c>
      <c r="B50" s="17" t="s">
        <v>72</v>
      </c>
      <c r="C50" s="17" t="s">
        <v>73</v>
      </c>
      <c r="D50" s="17" t="s">
        <v>55</v>
      </c>
    </row>
    <row r="51" spans="1:4" ht="15.75" thickBot="1" x14ac:dyDescent="0.25">
      <c r="A51" s="18" t="s">
        <v>32</v>
      </c>
      <c r="B51" s="19" t="s">
        <v>74</v>
      </c>
      <c r="C51" s="23">
        <v>0.2</v>
      </c>
      <c r="D51" s="20">
        <f t="shared" ref="D51:D58" si="0">($C$35+$C$45)*C51</f>
        <v>314.83018500000003</v>
      </c>
    </row>
    <row r="52" spans="1:4" ht="15.75" thickBot="1" x14ac:dyDescent="0.25">
      <c r="A52" s="18" t="s">
        <v>34</v>
      </c>
      <c r="B52" s="19" t="s">
        <v>75</v>
      </c>
      <c r="C52" s="23">
        <v>2.5000000000000001E-2</v>
      </c>
      <c r="D52" s="20">
        <f t="shared" si="0"/>
        <v>39.353773125000004</v>
      </c>
    </row>
    <row r="53" spans="1:4" ht="15.75" thickBot="1" x14ac:dyDescent="0.25">
      <c r="A53" s="18" t="s">
        <v>37</v>
      </c>
      <c r="B53" s="19" t="s">
        <v>76</v>
      </c>
      <c r="C53" s="23">
        <v>0.03</v>
      </c>
      <c r="D53" s="20">
        <f t="shared" si="0"/>
        <v>47.224527749999993</v>
      </c>
    </row>
    <row r="54" spans="1:4" ht="15.75" thickBot="1" x14ac:dyDescent="0.25">
      <c r="A54" s="18" t="s">
        <v>40</v>
      </c>
      <c r="B54" s="19" t="s">
        <v>77</v>
      </c>
      <c r="C54" s="23">
        <v>1.4999999999999999E-2</v>
      </c>
      <c r="D54" s="20">
        <f t="shared" si="0"/>
        <v>23.612263874999996</v>
      </c>
    </row>
    <row r="55" spans="1:4" ht="15.75" thickBot="1" x14ac:dyDescent="0.25">
      <c r="A55" s="18" t="s">
        <v>42</v>
      </c>
      <c r="B55" s="19" t="s">
        <v>78</v>
      </c>
      <c r="C55" s="23">
        <v>0.01</v>
      </c>
      <c r="D55" s="20">
        <f t="shared" si="0"/>
        <v>15.74150925</v>
      </c>
    </row>
    <row r="56" spans="1:4" ht="15.75" thickBot="1" x14ac:dyDescent="0.25">
      <c r="A56" s="18" t="s">
        <v>79</v>
      </c>
      <c r="B56" s="19" t="s">
        <v>80</v>
      </c>
      <c r="C56" s="23">
        <v>6.0000000000000001E-3</v>
      </c>
      <c r="D56" s="20">
        <f t="shared" si="0"/>
        <v>9.4449055499999996</v>
      </c>
    </row>
    <row r="57" spans="1:4" ht="15.75" thickBot="1" x14ac:dyDescent="0.25">
      <c r="A57" s="18" t="s">
        <v>61</v>
      </c>
      <c r="B57" s="19" t="s">
        <v>81</v>
      </c>
      <c r="C57" s="23">
        <v>2E-3</v>
      </c>
      <c r="D57" s="20">
        <f t="shared" si="0"/>
        <v>3.1483018499999997</v>
      </c>
    </row>
    <row r="58" spans="1:4" ht="15.75" thickBot="1" x14ac:dyDescent="0.25">
      <c r="A58" s="18" t="s">
        <v>82</v>
      </c>
      <c r="B58" s="19" t="s">
        <v>83</v>
      </c>
      <c r="C58" s="23">
        <v>0.08</v>
      </c>
      <c r="D58" s="20">
        <f t="shared" si="0"/>
        <v>125.932074</v>
      </c>
    </row>
    <row r="59" spans="1:4" ht="16.5" thickBot="1" x14ac:dyDescent="0.25">
      <c r="A59" s="195" t="s">
        <v>84</v>
      </c>
      <c r="B59" s="196"/>
      <c r="C59" s="24">
        <f>SUM(C51:C58)</f>
        <v>0.36800000000000005</v>
      </c>
      <c r="D59" s="21">
        <f>SUM(D51:D58)</f>
        <v>579.2875403999999</v>
      </c>
    </row>
    <row r="60" spans="1:4" ht="12.75" customHeight="1" x14ac:dyDescent="0.2"/>
    <row r="61" spans="1:4" ht="12.75" customHeight="1" x14ac:dyDescent="0.2"/>
    <row r="62" spans="1:4" ht="15.75" x14ac:dyDescent="0.2">
      <c r="A62" s="194" t="s">
        <v>85</v>
      </c>
      <c r="B62" s="194"/>
      <c r="C62" s="194"/>
    </row>
    <row r="63" spans="1:4" ht="15.75" thickBot="1" x14ac:dyDescent="0.25"/>
    <row r="64" spans="1:4" ht="16.5" thickBot="1" x14ac:dyDescent="0.25">
      <c r="A64" s="16" t="s">
        <v>86</v>
      </c>
      <c r="B64" s="17" t="s">
        <v>87</v>
      </c>
      <c r="C64" s="17" t="s">
        <v>55</v>
      </c>
    </row>
    <row r="65" spans="1:4" ht="15.75" thickBot="1" x14ac:dyDescent="0.25">
      <c r="A65" s="18" t="s">
        <v>32</v>
      </c>
      <c r="B65" s="19" t="s">
        <v>88</v>
      </c>
      <c r="C65" s="20">
        <f>('CÁLCULO TRANSPORTE-ALIMENTAÇÃO'!B38*'Custo Servente SEG-SEX - ITEM 2'!D65)-(C28*6%)</f>
        <v>156.995</v>
      </c>
      <c r="D65" s="106">
        <f>5.5*2</f>
        <v>11</v>
      </c>
    </row>
    <row r="66" spans="1:4" ht="15.75" thickBot="1" x14ac:dyDescent="0.25">
      <c r="A66" s="18" t="s">
        <v>34</v>
      </c>
      <c r="B66" s="19" t="s">
        <v>89</v>
      </c>
      <c r="C66" s="20">
        <f>D66*'CÁLCULO TRANSPORTE-ALIMENTAÇÃO'!B38</f>
        <v>836</v>
      </c>
      <c r="D66" s="106">
        <v>38</v>
      </c>
    </row>
    <row r="67" spans="1:4" ht="15.75" thickBot="1" x14ac:dyDescent="0.25">
      <c r="A67" s="18" t="s">
        <v>37</v>
      </c>
      <c r="B67" s="19" t="s">
        <v>90</v>
      </c>
      <c r="C67" s="20">
        <v>169.67</v>
      </c>
    </row>
    <row r="68" spans="1:4" ht="15.75" thickBot="1" x14ac:dyDescent="0.25">
      <c r="A68" s="18" t="s">
        <v>40</v>
      </c>
      <c r="B68" s="19" t="s">
        <v>91</v>
      </c>
      <c r="C68" s="20">
        <v>11.27</v>
      </c>
    </row>
    <row r="69" spans="1:4" ht="15.75" thickBot="1" x14ac:dyDescent="0.25">
      <c r="A69" s="18" t="s">
        <v>42</v>
      </c>
      <c r="B69" s="19" t="s">
        <v>92</v>
      </c>
      <c r="C69" s="20">
        <v>2.5</v>
      </c>
    </row>
    <row r="70" spans="1:4" ht="16.5" thickBot="1" x14ac:dyDescent="0.25">
      <c r="A70" s="195" t="s">
        <v>63</v>
      </c>
      <c r="B70" s="196"/>
      <c r="C70" s="21">
        <f>SUM(C65:C69)</f>
        <v>1176.4349999999999</v>
      </c>
    </row>
    <row r="71" spans="1:4" ht="12.75" customHeight="1" x14ac:dyDescent="0.2"/>
    <row r="72" spans="1:4" ht="12.75" customHeight="1" x14ac:dyDescent="0.2"/>
    <row r="73" spans="1:4" ht="15.75" x14ac:dyDescent="0.2">
      <c r="A73" s="194" t="s">
        <v>93</v>
      </c>
      <c r="B73" s="194"/>
      <c r="C73" s="194"/>
    </row>
    <row r="74" spans="1:4" ht="15.75" thickBot="1" x14ac:dyDescent="0.25"/>
    <row r="75" spans="1:4" ht="16.5" thickBot="1" x14ac:dyDescent="0.25">
      <c r="A75" s="16">
        <v>2</v>
      </c>
      <c r="B75" s="17" t="s">
        <v>94</v>
      </c>
      <c r="C75" s="17" t="s">
        <v>55</v>
      </c>
    </row>
    <row r="76" spans="1:4" ht="15.75" thickBot="1" x14ac:dyDescent="0.25">
      <c r="A76" s="18" t="s">
        <v>66</v>
      </c>
      <c r="B76" s="19" t="s">
        <v>95</v>
      </c>
      <c r="C76" s="20">
        <f>C45</f>
        <v>157.400925</v>
      </c>
    </row>
    <row r="77" spans="1:4" ht="15.75" thickBot="1" x14ac:dyDescent="0.25">
      <c r="A77" s="18" t="s">
        <v>71</v>
      </c>
      <c r="B77" s="19" t="s">
        <v>72</v>
      </c>
      <c r="C77" s="20">
        <f>D59</f>
        <v>579.2875403999999</v>
      </c>
    </row>
    <row r="78" spans="1:4" ht="15.75" thickBot="1" x14ac:dyDescent="0.25">
      <c r="A78" s="18" t="s">
        <v>86</v>
      </c>
      <c r="B78" s="19" t="s">
        <v>87</v>
      </c>
      <c r="C78" s="20">
        <f>C70</f>
        <v>1176.4349999999999</v>
      </c>
    </row>
    <row r="79" spans="1:4" ht="16.5" thickBot="1" x14ac:dyDescent="0.25">
      <c r="A79" s="195" t="s">
        <v>63</v>
      </c>
      <c r="B79" s="196"/>
      <c r="C79" s="21">
        <f>SUM(C76:C78)</f>
        <v>1913.1234654</v>
      </c>
    </row>
    <row r="80" spans="1:4" ht="12.75" customHeight="1" x14ac:dyDescent="0.2">
      <c r="A80" s="25"/>
    </row>
    <row r="81" spans="1:3" ht="12.75" customHeight="1" x14ac:dyDescent="0.2"/>
    <row r="82" spans="1:3" ht="15.75" x14ac:dyDescent="0.2">
      <c r="A82" s="198" t="s">
        <v>96</v>
      </c>
      <c r="B82" s="198"/>
      <c r="C82" s="198"/>
    </row>
    <row r="83" spans="1:3" ht="15.75" thickBot="1" x14ac:dyDescent="0.25"/>
    <row r="84" spans="1:3" ht="16.5" thickBot="1" x14ac:dyDescent="0.25">
      <c r="A84" s="26">
        <v>3</v>
      </c>
      <c r="B84" s="27" t="s">
        <v>97</v>
      </c>
      <c r="C84" s="27" t="s">
        <v>55</v>
      </c>
    </row>
    <row r="85" spans="1:3" ht="15.75" thickBot="1" x14ac:dyDescent="0.25">
      <c r="A85" s="18" t="s">
        <v>32</v>
      </c>
      <c r="B85" s="28" t="s">
        <v>98</v>
      </c>
      <c r="C85" s="20">
        <f>(C35+C45+D59+C70)*0.26%</f>
        <v>8.6576710100399978</v>
      </c>
    </row>
    <row r="86" spans="1:3" ht="15.75" thickBot="1" x14ac:dyDescent="0.25">
      <c r="A86" s="18" t="s">
        <v>34</v>
      </c>
      <c r="B86" s="28" t="s">
        <v>99</v>
      </c>
      <c r="C86" s="20">
        <f>(C35+C45)*0.02%</f>
        <v>0.31483018499999998</v>
      </c>
    </row>
    <row r="87" spans="1:3" ht="15.75" thickBot="1" x14ac:dyDescent="0.25">
      <c r="A87" s="18" t="s">
        <v>37</v>
      </c>
      <c r="B87" s="28" t="s">
        <v>100</v>
      </c>
      <c r="C87" s="20">
        <f>(C35+C45)*0.01%</f>
        <v>0.15741509249999999</v>
      </c>
    </row>
    <row r="88" spans="1:3" ht="15.75" thickBot="1" x14ac:dyDescent="0.25">
      <c r="A88" s="18" t="s">
        <v>40</v>
      </c>
      <c r="B88" s="28" t="s">
        <v>101</v>
      </c>
      <c r="C88" s="20">
        <f>(C35+C79)*1.03%</f>
        <v>34.297696693619997</v>
      </c>
    </row>
    <row r="89" spans="1:3" ht="30.75" thickBot="1" x14ac:dyDescent="0.25">
      <c r="A89" s="18" t="s">
        <v>42</v>
      </c>
      <c r="B89" s="28" t="s">
        <v>102</v>
      </c>
      <c r="C89" s="20">
        <f>(C35+C45)*0.38%</f>
        <v>5.9817735149999995</v>
      </c>
    </row>
    <row r="90" spans="1:3" ht="30.75" thickBot="1" x14ac:dyDescent="0.25">
      <c r="A90" s="18" t="s">
        <v>79</v>
      </c>
      <c r="B90" s="28" t="s">
        <v>103</v>
      </c>
      <c r="C90" s="20">
        <f>(C35+C45)*0.05%</f>
        <v>0.78707546249999993</v>
      </c>
    </row>
    <row r="91" spans="1:3" ht="16.5" thickBot="1" x14ac:dyDescent="0.25">
      <c r="A91" s="203" t="s">
        <v>63</v>
      </c>
      <c r="B91" s="204"/>
      <c r="C91" s="29">
        <f>SUM(C85:C90)</f>
        <v>50.196461958659995</v>
      </c>
    </row>
    <row r="92" spans="1:3" ht="12.75" customHeight="1" x14ac:dyDescent="0.2"/>
    <row r="93" spans="1:3" ht="12.75" customHeight="1" x14ac:dyDescent="0.2"/>
    <row r="94" spans="1:3" ht="15.75" x14ac:dyDescent="0.2">
      <c r="A94" s="198" t="s">
        <v>104</v>
      </c>
      <c r="B94" s="198"/>
      <c r="C94" s="198"/>
    </row>
    <row r="96" spans="1:3" ht="15.75" x14ac:dyDescent="0.2">
      <c r="A96" s="194" t="s">
        <v>105</v>
      </c>
      <c r="B96" s="194"/>
      <c r="C96" s="194"/>
    </row>
    <row r="97" spans="1:3" ht="16.5" thickBot="1" x14ac:dyDescent="0.25">
      <c r="A97" s="22"/>
    </row>
    <row r="98" spans="1:3" ht="16.5" thickBot="1" x14ac:dyDescent="0.25">
      <c r="A98" s="16" t="s">
        <v>106</v>
      </c>
      <c r="B98" s="17" t="s">
        <v>107</v>
      </c>
      <c r="C98" s="17" t="s">
        <v>55</v>
      </c>
    </row>
    <row r="99" spans="1:3" ht="15.75" thickBot="1" x14ac:dyDescent="0.25">
      <c r="A99" s="18" t="s">
        <v>32</v>
      </c>
      <c r="B99" s="19" t="s">
        <v>108</v>
      </c>
      <c r="C99" s="20">
        <f>(C35+C79+C91)*8.33%</f>
        <v>281.55982494897637</v>
      </c>
    </row>
    <row r="100" spans="1:3" ht="15.75" thickBot="1" x14ac:dyDescent="0.25">
      <c r="A100" s="18" t="s">
        <v>34</v>
      </c>
      <c r="B100" s="19" t="s">
        <v>109</v>
      </c>
      <c r="C100" s="20">
        <f>(C35+C79+C91)*2.22%</f>
        <v>75.037552387362254</v>
      </c>
    </row>
    <row r="101" spans="1:3" ht="15.75" thickBot="1" x14ac:dyDescent="0.25">
      <c r="A101" s="18" t="s">
        <v>37</v>
      </c>
      <c r="B101" s="19" t="s">
        <v>110</v>
      </c>
      <c r="C101" s="20">
        <f>(C35+C79+C91)*0.04%</f>
        <v>1.3520279709434642</v>
      </c>
    </row>
    <row r="102" spans="1:3" ht="15.75" thickBot="1" x14ac:dyDescent="0.25">
      <c r="A102" s="18" t="s">
        <v>40</v>
      </c>
      <c r="B102" s="19" t="s">
        <v>111</v>
      </c>
      <c r="C102" s="20">
        <f>(C35+C79+C91)*0.02%</f>
        <v>0.67601398547173208</v>
      </c>
    </row>
    <row r="103" spans="1:3" ht="15.75" thickBot="1" x14ac:dyDescent="0.25">
      <c r="A103" s="18" t="s">
        <v>42</v>
      </c>
      <c r="B103" s="19" t="s">
        <v>112</v>
      </c>
      <c r="C103" s="20">
        <f>(C35+C79+C91)*0.14%</f>
        <v>4.7320978983021247</v>
      </c>
    </row>
    <row r="104" spans="1:3" ht="15.75" thickBot="1" x14ac:dyDescent="0.25">
      <c r="A104" s="18" t="s">
        <v>79</v>
      </c>
      <c r="B104" s="19" t="s">
        <v>62</v>
      </c>
      <c r="C104" s="20"/>
    </row>
    <row r="105" spans="1:3" ht="16.5" thickBot="1" x14ac:dyDescent="0.25">
      <c r="A105" s="195" t="s">
        <v>84</v>
      </c>
      <c r="B105" s="196"/>
      <c r="C105" s="21">
        <f>SUM(C99:C104)</f>
        <v>363.35751719105599</v>
      </c>
    </row>
    <row r="106" spans="1:3" ht="12.75" customHeight="1" x14ac:dyDescent="0.2"/>
    <row r="107" spans="1:3" ht="12.75" customHeight="1" x14ac:dyDescent="0.2"/>
    <row r="108" spans="1:3" ht="15.75" x14ac:dyDescent="0.2">
      <c r="A108" s="194" t="s">
        <v>113</v>
      </c>
      <c r="B108" s="194"/>
      <c r="C108" s="194"/>
    </row>
    <row r="109" spans="1:3" ht="16.5" thickBot="1" x14ac:dyDescent="0.25">
      <c r="A109" s="22"/>
    </row>
    <row r="110" spans="1:3" ht="16.5" thickBot="1" x14ac:dyDescent="0.25">
      <c r="A110" s="16" t="s">
        <v>114</v>
      </c>
      <c r="B110" s="17" t="s">
        <v>115</v>
      </c>
      <c r="C110" s="17" t="s">
        <v>55</v>
      </c>
    </row>
    <row r="111" spans="1:3" ht="15.75" thickBot="1" x14ac:dyDescent="0.25">
      <c r="A111" s="18" t="s">
        <v>32</v>
      </c>
      <c r="B111" s="19" t="s">
        <v>116</v>
      </c>
      <c r="C111" s="20"/>
    </row>
    <row r="112" spans="1:3" ht="16.5" thickBot="1" x14ac:dyDescent="0.25">
      <c r="A112" s="195" t="s">
        <v>63</v>
      </c>
      <c r="B112" s="196"/>
      <c r="C112" s="21"/>
    </row>
    <row r="113" spans="1:3" ht="12.75" customHeight="1" x14ac:dyDescent="0.2"/>
    <row r="114" spans="1:3" ht="12.75" customHeight="1" x14ac:dyDescent="0.2"/>
    <row r="115" spans="1:3" ht="15.75" x14ac:dyDescent="0.2">
      <c r="A115" s="194" t="s">
        <v>117</v>
      </c>
      <c r="B115" s="194"/>
      <c r="C115" s="194"/>
    </row>
    <row r="116" spans="1:3" ht="16.5" thickBot="1" x14ac:dyDescent="0.25">
      <c r="A116" s="22"/>
    </row>
    <row r="117" spans="1:3" ht="16.5" thickBot="1" x14ac:dyDescent="0.25">
      <c r="A117" s="16">
        <v>4</v>
      </c>
      <c r="B117" s="17" t="s">
        <v>118</v>
      </c>
      <c r="C117" s="17" t="s">
        <v>55</v>
      </c>
    </row>
    <row r="118" spans="1:3" ht="15.75" thickBot="1" x14ac:dyDescent="0.25">
      <c r="A118" s="18" t="s">
        <v>106</v>
      </c>
      <c r="B118" s="19" t="s">
        <v>107</v>
      </c>
      <c r="C118" s="20">
        <f>C105</f>
        <v>363.35751719105599</v>
      </c>
    </row>
    <row r="119" spans="1:3" ht="15.75" thickBot="1" x14ac:dyDescent="0.25">
      <c r="A119" s="18" t="s">
        <v>114</v>
      </c>
      <c r="B119" s="19" t="s">
        <v>115</v>
      </c>
      <c r="C119" s="20"/>
    </row>
    <row r="120" spans="1:3" ht="16.5" thickBot="1" x14ac:dyDescent="0.25">
      <c r="A120" s="195" t="s">
        <v>63</v>
      </c>
      <c r="B120" s="196"/>
      <c r="C120" s="21">
        <f>SUM(C118:C119)</f>
        <v>363.35751719105599</v>
      </c>
    </row>
    <row r="121" spans="1:3" ht="12.75" customHeight="1" x14ac:dyDescent="0.2"/>
    <row r="122" spans="1:3" ht="12.75" customHeight="1" x14ac:dyDescent="0.2"/>
    <row r="123" spans="1:3" ht="15.75" x14ac:dyDescent="0.2">
      <c r="A123" s="198" t="s">
        <v>119</v>
      </c>
      <c r="B123" s="198"/>
      <c r="C123" s="198"/>
    </row>
    <row r="124" spans="1:3" ht="15.75" thickBot="1" x14ac:dyDescent="0.25"/>
    <row r="125" spans="1:3" ht="16.5" thickBot="1" x14ac:dyDescent="0.25">
      <c r="A125" s="46">
        <v>5</v>
      </c>
      <c r="B125" s="47" t="s">
        <v>120</v>
      </c>
      <c r="C125" s="48" t="s">
        <v>55</v>
      </c>
    </row>
    <row r="126" spans="1:3" ht="15.75" thickBot="1" x14ac:dyDescent="0.25">
      <c r="A126" s="18" t="s">
        <v>32</v>
      </c>
      <c r="B126" s="19" t="s">
        <v>121</v>
      </c>
      <c r="C126" s="20">
        <f>Uniformes!E22</f>
        <v>19.701833333333337</v>
      </c>
    </row>
    <row r="127" spans="1:3" ht="15.75" thickBot="1" x14ac:dyDescent="0.25">
      <c r="A127" s="18" t="s">
        <v>34</v>
      </c>
      <c r="B127" s="19" t="s">
        <v>122</v>
      </c>
      <c r="C127" s="20">
        <f>'Materiais de Consumo'!G299</f>
        <v>323.51970588235287</v>
      </c>
    </row>
    <row r="128" spans="1:3" ht="15.75" thickBot="1" x14ac:dyDescent="0.25">
      <c r="A128" s="18" t="s">
        <v>37</v>
      </c>
      <c r="B128" s="19" t="s">
        <v>123</v>
      </c>
      <c r="C128" s="20">
        <f>Equipamentos!F32</f>
        <v>9.5659963235294114</v>
      </c>
    </row>
    <row r="129" spans="1:4" ht="15.75" thickBot="1" x14ac:dyDescent="0.25">
      <c r="A129" s="18" t="s">
        <v>40</v>
      </c>
      <c r="B129" s="19" t="s">
        <v>62</v>
      </c>
      <c r="C129" s="20"/>
    </row>
    <row r="130" spans="1:4" ht="16.5" thickBot="1" x14ac:dyDescent="0.25">
      <c r="A130" s="201" t="s">
        <v>84</v>
      </c>
      <c r="B130" s="202"/>
      <c r="C130" s="54">
        <f>SUM(C126:C129)</f>
        <v>352.78753553921564</v>
      </c>
    </row>
    <row r="131" spans="1:4" ht="12.75" customHeight="1" x14ac:dyDescent="0.2"/>
    <row r="132" spans="1:4" ht="12.75" customHeight="1" x14ac:dyDescent="0.2"/>
    <row r="133" spans="1:4" ht="15.75" x14ac:dyDescent="0.2">
      <c r="A133" s="198" t="s">
        <v>124</v>
      </c>
      <c r="B133" s="198"/>
      <c r="C133" s="198"/>
    </row>
    <row r="134" spans="1:4" ht="15.75" thickBot="1" x14ac:dyDescent="0.25"/>
    <row r="135" spans="1:4" ht="16.5" thickBot="1" x14ac:dyDescent="0.25">
      <c r="A135" s="16">
        <v>6</v>
      </c>
      <c r="B135" s="30" t="s">
        <v>125</v>
      </c>
      <c r="C135" s="17" t="s">
        <v>126</v>
      </c>
      <c r="D135" s="17" t="s">
        <v>55</v>
      </c>
    </row>
    <row r="136" spans="1:4" ht="15.75" thickBot="1" x14ac:dyDescent="0.25">
      <c r="A136" s="18" t="s">
        <v>32</v>
      </c>
      <c r="B136" s="19" t="s">
        <v>127</v>
      </c>
      <c r="C136" s="23">
        <v>4.7300000000000002E-2</v>
      </c>
      <c r="D136" s="20">
        <f>(C35+C79+C91+C120+C130)*C136</f>
        <v>193.75096855820649</v>
      </c>
    </row>
    <row r="137" spans="1:4" ht="15.75" thickBot="1" x14ac:dyDescent="0.25">
      <c r="A137" s="18" t="s">
        <v>34</v>
      </c>
      <c r="B137" s="19" t="s">
        <v>128</v>
      </c>
      <c r="C137" s="23">
        <v>3.9E-2</v>
      </c>
      <c r="D137" s="20">
        <f>(C35+C79+C91+C120+C130+D136)*C137</f>
        <v>167.30867199723838</v>
      </c>
    </row>
    <row r="138" spans="1:4" ht="15.75" thickBot="1" x14ac:dyDescent="0.25">
      <c r="A138" s="18" t="s">
        <v>37</v>
      </c>
      <c r="B138" s="19" t="s">
        <v>129</v>
      </c>
      <c r="C138" s="23">
        <f>SUM(C139:C141)</f>
        <v>8.6499999999999994E-2</v>
      </c>
      <c r="D138" s="20">
        <f>(C35+C79+C91+C120+C130+D136+D137)/(1-C138)*C138</f>
        <v>422.06267617486429</v>
      </c>
    </row>
    <row r="139" spans="1:4" ht="15.75" thickBot="1" x14ac:dyDescent="0.25">
      <c r="A139" s="18"/>
      <c r="B139" s="19" t="s">
        <v>130</v>
      </c>
      <c r="C139" s="23">
        <v>3.6499999999999998E-2</v>
      </c>
      <c r="D139" s="20"/>
    </row>
    <row r="140" spans="1:4" ht="15.75" thickBot="1" x14ac:dyDescent="0.25">
      <c r="A140" s="18"/>
      <c r="B140" s="19" t="s">
        <v>131</v>
      </c>
      <c r="C140" s="23"/>
      <c r="D140" s="20"/>
    </row>
    <row r="141" spans="1:4" ht="15.75" thickBot="1" x14ac:dyDescent="0.25">
      <c r="A141" s="18"/>
      <c r="B141" s="19" t="s">
        <v>132</v>
      </c>
      <c r="C141" s="23">
        <v>0.05</v>
      </c>
      <c r="D141" s="20"/>
    </row>
    <row r="142" spans="1:4" ht="16.5" thickBot="1" x14ac:dyDescent="0.25">
      <c r="A142" s="195" t="s">
        <v>84</v>
      </c>
      <c r="B142" s="196"/>
      <c r="C142" s="24">
        <f>SUM(C136:C138)</f>
        <v>0.17280000000000001</v>
      </c>
      <c r="D142" s="21">
        <f>SUM(D136:D138)</f>
        <v>783.12231673030919</v>
      </c>
    </row>
    <row r="143" spans="1:4" ht="12.75" customHeight="1" x14ac:dyDescent="0.2"/>
    <row r="144" spans="1:4" ht="12.75" customHeight="1" x14ac:dyDescent="0.2"/>
    <row r="145" spans="1:3" ht="15.75" x14ac:dyDescent="0.2">
      <c r="A145" s="198" t="s">
        <v>133</v>
      </c>
      <c r="B145" s="198"/>
      <c r="C145" s="198"/>
    </row>
    <row r="146" spans="1:3" ht="15.75" thickBot="1" x14ac:dyDescent="0.25"/>
    <row r="147" spans="1:3" ht="32.25" thickBot="1" x14ac:dyDescent="0.25">
      <c r="A147" s="16"/>
      <c r="B147" s="17" t="s">
        <v>134</v>
      </c>
      <c r="C147" s="17" t="s">
        <v>55</v>
      </c>
    </row>
    <row r="148" spans="1:3" ht="16.5" thickBot="1" x14ac:dyDescent="0.25">
      <c r="A148" s="31" t="s">
        <v>32</v>
      </c>
      <c r="B148" s="19" t="s">
        <v>53</v>
      </c>
      <c r="C148" s="32">
        <f>C35</f>
        <v>1416.75</v>
      </c>
    </row>
    <row r="149" spans="1:3" ht="16.5" thickBot="1" x14ac:dyDescent="0.25">
      <c r="A149" s="31" t="s">
        <v>34</v>
      </c>
      <c r="B149" s="19" t="s">
        <v>64</v>
      </c>
      <c r="C149" s="32">
        <f>C79</f>
        <v>1913.1234654</v>
      </c>
    </row>
    <row r="150" spans="1:3" ht="16.5" thickBot="1" x14ac:dyDescent="0.25">
      <c r="A150" s="31" t="s">
        <v>37</v>
      </c>
      <c r="B150" s="19" t="s">
        <v>96</v>
      </c>
      <c r="C150" s="32">
        <f>C91</f>
        <v>50.196461958659995</v>
      </c>
    </row>
    <row r="151" spans="1:3" ht="16.5" thickBot="1" x14ac:dyDescent="0.25">
      <c r="A151" s="31" t="s">
        <v>40</v>
      </c>
      <c r="B151" s="19" t="s">
        <v>104</v>
      </c>
      <c r="C151" s="32">
        <f>C120</f>
        <v>363.35751719105599</v>
      </c>
    </row>
    <row r="152" spans="1:3" ht="16.5" thickBot="1" x14ac:dyDescent="0.25">
      <c r="A152" s="31" t="s">
        <v>42</v>
      </c>
      <c r="B152" s="19" t="s">
        <v>119</v>
      </c>
      <c r="C152" s="32">
        <f>C130</f>
        <v>352.78753553921564</v>
      </c>
    </row>
    <row r="153" spans="1:3" ht="16.5" thickBot="1" x14ac:dyDescent="0.25">
      <c r="A153" s="195" t="s">
        <v>135</v>
      </c>
      <c r="B153" s="196"/>
      <c r="C153" s="33">
        <f>SUM(C148:C152)</f>
        <v>4096.214980088932</v>
      </c>
    </row>
    <row r="154" spans="1:3" ht="16.5" thickBot="1" x14ac:dyDescent="0.25">
      <c r="A154" s="31" t="s">
        <v>79</v>
      </c>
      <c r="B154" s="19" t="s">
        <v>136</v>
      </c>
      <c r="C154" s="32">
        <f>D142</f>
        <v>783.12231673030919</v>
      </c>
    </row>
    <row r="155" spans="1:3" ht="16.5" thickBot="1" x14ac:dyDescent="0.25">
      <c r="A155" s="195" t="s">
        <v>137</v>
      </c>
      <c r="B155" s="196"/>
      <c r="C155" s="127">
        <f>SUM(C153:C154)</f>
        <v>4879.3372968192416</v>
      </c>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5" fitToHeight="0" orientation="portrait" horizontalDpi="300" verticalDpi="300" r:id="rId1"/>
  <headerFooter>
    <oddHeader>&amp;C&amp;"Arial,Negrito"&amp;14&amp;UPLANILHA DE CUSTO - SERVENTE DE SEGUNDA À SEXTA-FEIRA - ITEM 2</oddHeader>
  </headerFooter>
  <rowBreaks count="2" manualBreakCount="2">
    <brk id="47" max="16383" man="1"/>
    <brk id="1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55"/>
  <sheetViews>
    <sheetView showGridLines="0" zoomScaleNormal="100" workbookViewId="0">
      <selection activeCell="D8" sqref="D8"/>
    </sheetView>
  </sheetViews>
  <sheetFormatPr defaultRowHeight="15" x14ac:dyDescent="0.25"/>
  <cols>
    <col min="2" max="2" width="72.140625" customWidth="1"/>
    <col min="3" max="3" width="21.140625" customWidth="1"/>
    <col min="4" max="4" width="18.42578125" customWidth="1"/>
  </cols>
  <sheetData>
    <row r="1" spans="1:4" ht="23.25" x14ac:dyDescent="0.35">
      <c r="A1" s="200" t="s">
        <v>26</v>
      </c>
      <c r="B1" s="200"/>
      <c r="C1" s="200"/>
      <c r="D1" s="200"/>
    </row>
    <row r="2" spans="1:4" ht="15.75" x14ac:dyDescent="0.25">
      <c r="A2" s="205" t="s">
        <v>27</v>
      </c>
      <c r="B2" s="205"/>
      <c r="C2" s="205"/>
      <c r="D2" s="205"/>
    </row>
    <row r="3" spans="1:4" ht="15.75" customHeight="1" x14ac:dyDescent="0.25">
      <c r="A3" s="15"/>
      <c r="B3" s="15"/>
      <c r="C3" s="15"/>
      <c r="D3" s="15"/>
    </row>
    <row r="4" spans="1:4" ht="18" customHeight="1" x14ac:dyDescent="0.25">
      <c r="A4" s="34"/>
      <c r="B4" s="35" t="s">
        <v>28</v>
      </c>
      <c r="C4" s="37" t="s">
        <v>29</v>
      </c>
      <c r="D4" s="15"/>
    </row>
    <row r="5" spans="1:4" ht="18" customHeight="1" x14ac:dyDescent="0.25">
      <c r="A5" s="34"/>
      <c r="B5" s="35" t="s">
        <v>30</v>
      </c>
      <c r="C5" s="36"/>
      <c r="D5" s="15"/>
    </row>
    <row r="6" spans="1:4" ht="16.5" customHeight="1" x14ac:dyDescent="0.25">
      <c r="A6" s="15"/>
      <c r="B6" s="15"/>
      <c r="C6" s="15"/>
      <c r="D6" s="15"/>
    </row>
    <row r="7" spans="1:4" ht="18.75" customHeight="1" x14ac:dyDescent="0.25">
      <c r="A7" s="198" t="s">
        <v>146</v>
      </c>
      <c r="B7" s="198"/>
      <c r="C7" s="198"/>
      <c r="D7" s="15"/>
    </row>
    <row r="8" spans="1:4" ht="16.5" customHeight="1" x14ac:dyDescent="0.25">
      <c r="A8" s="38"/>
      <c r="B8" s="38"/>
      <c r="C8" s="38"/>
      <c r="D8" s="15"/>
    </row>
    <row r="9" spans="1:4" ht="16.5" customHeight="1" x14ac:dyDescent="0.25">
      <c r="A9" s="37" t="s">
        <v>32</v>
      </c>
      <c r="B9" s="39" t="s">
        <v>33</v>
      </c>
      <c r="C9" s="37"/>
      <c r="D9" s="15"/>
    </row>
    <row r="10" spans="1:4" ht="16.5" customHeight="1" x14ac:dyDescent="0.25">
      <c r="A10" s="37" t="s">
        <v>34</v>
      </c>
      <c r="B10" s="39" t="s">
        <v>35</v>
      </c>
      <c r="C10" s="37" t="s">
        <v>36</v>
      </c>
      <c r="D10" s="15"/>
    </row>
    <row r="11" spans="1:4" ht="36.75" customHeight="1" x14ac:dyDescent="0.25">
      <c r="A11" s="37" t="s">
        <v>37</v>
      </c>
      <c r="B11" s="39" t="s">
        <v>38</v>
      </c>
      <c r="C11" s="43" t="s">
        <v>39</v>
      </c>
      <c r="D11" s="15"/>
    </row>
    <row r="12" spans="1:4" ht="16.5" customHeight="1" x14ac:dyDescent="0.25">
      <c r="A12" s="37" t="s">
        <v>40</v>
      </c>
      <c r="B12" s="39" t="s">
        <v>41</v>
      </c>
      <c r="C12" s="37">
        <v>30</v>
      </c>
      <c r="D12" s="15"/>
    </row>
    <row r="13" spans="1:4" ht="30" x14ac:dyDescent="0.25">
      <c r="A13" s="37" t="s">
        <v>42</v>
      </c>
      <c r="B13" s="122" t="s">
        <v>147</v>
      </c>
      <c r="C13" s="105">
        <f>'QTD TOTAL SERVENTE-ENCARREGADO'!F5</f>
        <v>2</v>
      </c>
      <c r="D13" s="15"/>
    </row>
    <row r="14" spans="1:4" ht="13.5" customHeight="1" x14ac:dyDescent="0.25">
      <c r="A14" s="15"/>
      <c r="B14" s="15"/>
      <c r="C14" s="15"/>
      <c r="D14" s="15"/>
    </row>
    <row r="15" spans="1:4" ht="13.5" customHeight="1" x14ac:dyDescent="0.25">
      <c r="A15" s="45"/>
      <c r="B15" s="45"/>
      <c r="C15" s="15"/>
      <c r="D15" s="15"/>
    </row>
    <row r="16" spans="1:4" ht="18.75" customHeight="1" x14ac:dyDescent="0.25">
      <c r="A16" s="198" t="s">
        <v>44</v>
      </c>
      <c r="B16" s="198"/>
      <c r="C16" s="198"/>
      <c r="D16" s="15"/>
    </row>
    <row r="17" spans="1:4" ht="16.5" customHeight="1" x14ac:dyDescent="0.25">
      <c r="A17" s="15"/>
      <c r="B17" s="15"/>
      <c r="C17" s="15"/>
      <c r="D17" s="15"/>
    </row>
    <row r="18" spans="1:4" ht="16.5" customHeight="1" x14ac:dyDescent="0.25">
      <c r="A18" s="199" t="s">
        <v>45</v>
      </c>
      <c r="B18" s="199"/>
      <c r="C18" s="199"/>
      <c r="D18" s="15"/>
    </row>
    <row r="19" spans="1:4" ht="16.5" customHeight="1" x14ac:dyDescent="0.25">
      <c r="A19" s="40"/>
      <c r="B19" s="40"/>
      <c r="C19" s="40"/>
      <c r="D19" s="15"/>
    </row>
    <row r="20" spans="1:4" ht="30" x14ac:dyDescent="0.25">
      <c r="A20" s="41">
        <v>1</v>
      </c>
      <c r="B20" s="42" t="s">
        <v>46</v>
      </c>
      <c r="C20" s="43" t="s">
        <v>47</v>
      </c>
      <c r="D20" s="15"/>
    </row>
    <row r="21" spans="1:4" ht="19.5" customHeight="1" x14ac:dyDescent="0.25">
      <c r="A21" s="41">
        <v>2</v>
      </c>
      <c r="B21" s="42" t="s">
        <v>140</v>
      </c>
      <c r="C21" s="37" t="s">
        <v>141</v>
      </c>
      <c r="D21" s="15"/>
    </row>
    <row r="22" spans="1:4" ht="47.25" customHeight="1" x14ac:dyDescent="0.25">
      <c r="A22" s="41">
        <v>3</v>
      </c>
      <c r="B22" s="42" t="s">
        <v>50</v>
      </c>
      <c r="C22" s="43" t="s">
        <v>148</v>
      </c>
      <c r="D22" s="15"/>
    </row>
    <row r="23" spans="1:4" ht="16.5" customHeight="1" x14ac:dyDescent="0.25">
      <c r="A23" s="37">
        <v>4</v>
      </c>
      <c r="B23" s="42" t="s">
        <v>52</v>
      </c>
      <c r="C23" s="44">
        <v>44562</v>
      </c>
      <c r="D23" s="15"/>
    </row>
    <row r="24" spans="1:4" ht="16.5" customHeight="1" x14ac:dyDescent="0.25">
      <c r="A24" s="15"/>
      <c r="B24" s="15"/>
      <c r="C24" s="15"/>
      <c r="D24" s="15"/>
    </row>
    <row r="25" spans="1:4" ht="16.5" customHeight="1" x14ac:dyDescent="0.25">
      <c r="A25" s="198" t="s">
        <v>53</v>
      </c>
      <c r="B25" s="198"/>
      <c r="C25" s="198"/>
      <c r="D25" s="15"/>
    </row>
    <row r="26" spans="1:4" ht="16.5" customHeight="1" thickBot="1" x14ac:dyDescent="0.3">
      <c r="A26" s="15"/>
      <c r="B26" s="15"/>
      <c r="C26" s="15"/>
      <c r="D26" s="15"/>
    </row>
    <row r="27" spans="1:4" ht="16.5" customHeight="1" thickBot="1" x14ac:dyDescent="0.3">
      <c r="A27" s="16">
        <v>1</v>
      </c>
      <c r="B27" s="17" t="s">
        <v>54</v>
      </c>
      <c r="C27" s="17" t="s">
        <v>55</v>
      </c>
      <c r="D27" s="15"/>
    </row>
    <row r="28" spans="1:4" ht="16.5" customHeight="1" thickBot="1" x14ac:dyDescent="0.3">
      <c r="A28" s="18" t="s">
        <v>32</v>
      </c>
      <c r="B28" s="19" t="s">
        <v>56</v>
      </c>
      <c r="C28" s="20">
        <v>2833.5</v>
      </c>
      <c r="D28" s="15"/>
    </row>
    <row r="29" spans="1:4" ht="16.5" customHeight="1" thickBot="1" x14ac:dyDescent="0.3">
      <c r="A29" s="18" t="s">
        <v>34</v>
      </c>
      <c r="B29" s="19" t="s">
        <v>57</v>
      </c>
      <c r="C29" s="20"/>
      <c r="D29" s="15"/>
    </row>
    <row r="30" spans="1:4" ht="16.5" customHeight="1" thickBot="1" x14ac:dyDescent="0.3">
      <c r="A30" s="18" t="s">
        <v>37</v>
      </c>
      <c r="B30" s="19" t="s">
        <v>58</v>
      </c>
      <c r="C30" s="20"/>
      <c r="D30" s="15"/>
    </row>
    <row r="31" spans="1:4" ht="16.5" customHeight="1" thickBot="1" x14ac:dyDescent="0.3">
      <c r="A31" s="18" t="s">
        <v>40</v>
      </c>
      <c r="B31" s="19" t="s">
        <v>59</v>
      </c>
      <c r="C31" s="20"/>
      <c r="D31" s="15"/>
    </row>
    <row r="32" spans="1:4" ht="16.5" customHeight="1" thickBot="1" x14ac:dyDescent="0.3">
      <c r="A32" s="18" t="s">
        <v>42</v>
      </c>
      <c r="B32" s="19" t="s">
        <v>60</v>
      </c>
      <c r="C32" s="20"/>
      <c r="D32" s="15"/>
    </row>
    <row r="33" spans="1:4" ht="16.5" customHeight="1" thickBot="1" x14ac:dyDescent="0.3">
      <c r="A33" s="18"/>
      <c r="B33" s="19"/>
      <c r="C33" s="20"/>
      <c r="D33" s="15"/>
    </row>
    <row r="34" spans="1:4" ht="16.5" customHeight="1" thickBot="1" x14ac:dyDescent="0.3">
      <c r="A34" s="18" t="s">
        <v>61</v>
      </c>
      <c r="B34" s="19" t="s">
        <v>62</v>
      </c>
      <c r="C34" s="20"/>
      <c r="D34" s="15"/>
    </row>
    <row r="35" spans="1:4" ht="16.5" customHeight="1" thickBot="1" x14ac:dyDescent="0.3">
      <c r="A35" s="195" t="s">
        <v>63</v>
      </c>
      <c r="B35" s="196"/>
      <c r="C35" s="21">
        <f>SUM(C28:C34)</f>
        <v>2833.5</v>
      </c>
      <c r="D35" s="15"/>
    </row>
    <row r="36" spans="1:4" ht="13.5" customHeight="1" x14ac:dyDescent="0.25">
      <c r="A36" s="15"/>
      <c r="B36" s="15"/>
      <c r="C36" s="15"/>
      <c r="D36" s="15"/>
    </row>
    <row r="37" spans="1:4" ht="13.5" customHeight="1" x14ac:dyDescent="0.25">
      <c r="A37" s="15"/>
      <c r="B37" s="15"/>
      <c r="C37" s="15"/>
      <c r="D37" s="15"/>
    </row>
    <row r="38" spans="1:4" ht="16.5" customHeight="1" x14ac:dyDescent="0.25">
      <c r="A38" s="198" t="s">
        <v>64</v>
      </c>
      <c r="B38" s="198"/>
      <c r="C38" s="198"/>
      <c r="D38" s="15"/>
    </row>
    <row r="39" spans="1:4" ht="16.5" customHeight="1" x14ac:dyDescent="0.25">
      <c r="A39" s="22"/>
      <c r="B39" s="15"/>
      <c r="C39" s="15"/>
      <c r="D39" s="15"/>
    </row>
    <row r="40" spans="1:4" ht="16.5" customHeight="1" x14ac:dyDescent="0.25">
      <c r="A40" s="194" t="s">
        <v>65</v>
      </c>
      <c r="B40" s="194"/>
      <c r="C40" s="194"/>
      <c r="D40" s="15"/>
    </row>
    <row r="41" spans="1:4" ht="16.5" customHeight="1" thickBot="1" x14ac:dyDescent="0.3">
      <c r="A41" s="15"/>
      <c r="B41" s="15"/>
      <c r="C41" s="15"/>
      <c r="D41" s="15"/>
    </row>
    <row r="42" spans="1:4" ht="16.5" customHeight="1" thickBot="1" x14ac:dyDescent="0.3">
      <c r="A42" s="16" t="s">
        <v>66</v>
      </c>
      <c r="B42" s="17" t="s">
        <v>67</v>
      </c>
      <c r="C42" s="17" t="s">
        <v>55</v>
      </c>
      <c r="D42" s="15"/>
    </row>
    <row r="43" spans="1:4" ht="16.5" customHeight="1" thickBot="1" x14ac:dyDescent="0.3">
      <c r="A43" s="18" t="s">
        <v>32</v>
      </c>
      <c r="B43" s="19" t="s">
        <v>68</v>
      </c>
      <c r="C43" s="20">
        <f>C35*8.33%</f>
        <v>236.03055000000001</v>
      </c>
      <c r="D43" s="15"/>
    </row>
    <row r="44" spans="1:4" ht="16.5" customHeight="1" thickBot="1" x14ac:dyDescent="0.3">
      <c r="A44" s="18" t="s">
        <v>34</v>
      </c>
      <c r="B44" s="19" t="s">
        <v>69</v>
      </c>
      <c r="C44" s="20">
        <f>C35*2.78%</f>
        <v>78.771299999999997</v>
      </c>
      <c r="D44" s="15"/>
    </row>
    <row r="45" spans="1:4" ht="16.5" customHeight="1" thickBot="1" x14ac:dyDescent="0.3">
      <c r="A45" s="195" t="s">
        <v>63</v>
      </c>
      <c r="B45" s="196"/>
      <c r="C45" s="21">
        <f>SUM(C43:C44)</f>
        <v>314.80185</v>
      </c>
      <c r="D45" s="15"/>
    </row>
    <row r="46" spans="1:4" ht="12.75" customHeight="1" x14ac:dyDescent="0.25">
      <c r="A46" s="15"/>
      <c r="B46" s="15"/>
      <c r="C46" s="15"/>
      <c r="D46" s="15"/>
    </row>
    <row r="47" spans="1:4" ht="12.75" customHeight="1" x14ac:dyDescent="0.25">
      <c r="A47" s="15"/>
      <c r="B47" s="15"/>
      <c r="C47" s="15"/>
      <c r="D47" s="15"/>
    </row>
    <row r="48" spans="1:4" ht="16.5" customHeight="1" x14ac:dyDescent="0.25">
      <c r="A48" s="197" t="s">
        <v>70</v>
      </c>
      <c r="B48" s="197"/>
      <c r="C48" s="197"/>
      <c r="D48" s="197"/>
    </row>
    <row r="49" spans="1:4" ht="16.5" customHeight="1" thickBot="1" x14ac:dyDescent="0.3">
      <c r="A49" s="15"/>
      <c r="B49" s="15"/>
      <c r="C49" s="15"/>
      <c r="D49" s="15"/>
    </row>
    <row r="50" spans="1:4" ht="16.5" customHeight="1" thickBot="1" x14ac:dyDescent="0.3">
      <c r="A50" s="16" t="s">
        <v>71</v>
      </c>
      <c r="B50" s="17" t="s">
        <v>72</v>
      </c>
      <c r="C50" s="17" t="s">
        <v>73</v>
      </c>
      <c r="D50" s="17" t="s">
        <v>55</v>
      </c>
    </row>
    <row r="51" spans="1:4" ht="16.5" customHeight="1" thickBot="1" x14ac:dyDescent="0.3">
      <c r="A51" s="18" t="s">
        <v>32</v>
      </c>
      <c r="B51" s="19" t="s">
        <v>74</v>
      </c>
      <c r="C51" s="23">
        <v>0.2</v>
      </c>
      <c r="D51" s="20">
        <f t="shared" ref="D51:D58" si="0">($C$35+$C$45)*C51</f>
        <v>629.66037000000006</v>
      </c>
    </row>
    <row r="52" spans="1:4" ht="16.5" customHeight="1" thickBot="1" x14ac:dyDescent="0.3">
      <c r="A52" s="18" t="s">
        <v>34</v>
      </c>
      <c r="B52" s="19" t="s">
        <v>75</v>
      </c>
      <c r="C52" s="23">
        <v>2.5000000000000001E-2</v>
      </c>
      <c r="D52" s="20">
        <f t="shared" si="0"/>
        <v>78.707546250000007</v>
      </c>
    </row>
    <row r="53" spans="1:4" ht="16.5" customHeight="1" thickBot="1" x14ac:dyDescent="0.3">
      <c r="A53" s="18" t="s">
        <v>37</v>
      </c>
      <c r="B53" s="19" t="s">
        <v>76</v>
      </c>
      <c r="C53" s="23">
        <v>0.03</v>
      </c>
      <c r="D53" s="20">
        <f t="shared" si="0"/>
        <v>94.449055499999986</v>
      </c>
    </row>
    <row r="54" spans="1:4" ht="16.5" customHeight="1" thickBot="1" x14ac:dyDescent="0.3">
      <c r="A54" s="18" t="s">
        <v>40</v>
      </c>
      <c r="B54" s="19" t="s">
        <v>77</v>
      </c>
      <c r="C54" s="23">
        <v>1.4999999999999999E-2</v>
      </c>
      <c r="D54" s="20">
        <f t="shared" si="0"/>
        <v>47.224527749999993</v>
      </c>
    </row>
    <row r="55" spans="1:4" ht="16.5" customHeight="1" thickBot="1" x14ac:dyDescent="0.3">
      <c r="A55" s="18" t="s">
        <v>42</v>
      </c>
      <c r="B55" s="19" t="s">
        <v>78</v>
      </c>
      <c r="C55" s="23">
        <v>0.01</v>
      </c>
      <c r="D55" s="20">
        <f t="shared" si="0"/>
        <v>31.4830185</v>
      </c>
    </row>
    <row r="56" spans="1:4" ht="16.5" customHeight="1" thickBot="1" x14ac:dyDescent="0.3">
      <c r="A56" s="18" t="s">
        <v>79</v>
      </c>
      <c r="B56" s="19" t="s">
        <v>80</v>
      </c>
      <c r="C56" s="23">
        <v>6.0000000000000001E-3</v>
      </c>
      <c r="D56" s="20">
        <f t="shared" si="0"/>
        <v>18.889811099999999</v>
      </c>
    </row>
    <row r="57" spans="1:4" ht="16.5" customHeight="1" thickBot="1" x14ac:dyDescent="0.3">
      <c r="A57" s="18" t="s">
        <v>61</v>
      </c>
      <c r="B57" s="19" t="s">
        <v>81</v>
      </c>
      <c r="C57" s="23">
        <v>2E-3</v>
      </c>
      <c r="D57" s="20">
        <f t="shared" si="0"/>
        <v>6.2966036999999995</v>
      </c>
    </row>
    <row r="58" spans="1:4" ht="16.5" customHeight="1" thickBot="1" x14ac:dyDescent="0.3">
      <c r="A58" s="18" t="s">
        <v>82</v>
      </c>
      <c r="B58" s="19" t="s">
        <v>83</v>
      </c>
      <c r="C58" s="23">
        <v>0.08</v>
      </c>
      <c r="D58" s="20">
        <f t="shared" si="0"/>
        <v>251.864148</v>
      </c>
    </row>
    <row r="59" spans="1:4" ht="16.5" customHeight="1" thickBot="1" x14ac:dyDescent="0.3">
      <c r="A59" s="195" t="s">
        <v>84</v>
      </c>
      <c r="B59" s="196"/>
      <c r="C59" s="24">
        <f>SUM(C51:C58)</f>
        <v>0.36800000000000005</v>
      </c>
      <c r="D59" s="21">
        <f>SUM(D51:D58)</f>
        <v>1158.5750807999998</v>
      </c>
    </row>
    <row r="60" spans="1:4" ht="12.75" customHeight="1" x14ac:dyDescent="0.25">
      <c r="A60" s="15"/>
      <c r="B60" s="15"/>
      <c r="C60" s="15"/>
      <c r="D60" s="15"/>
    </row>
    <row r="61" spans="1:4" ht="12.75" customHeight="1" x14ac:dyDescent="0.25">
      <c r="A61" s="15"/>
      <c r="B61" s="15"/>
      <c r="C61" s="15"/>
      <c r="D61" s="15"/>
    </row>
    <row r="62" spans="1:4" ht="16.5" customHeight="1" x14ac:dyDescent="0.25">
      <c r="A62" s="194" t="s">
        <v>85</v>
      </c>
      <c r="B62" s="194"/>
      <c r="C62" s="194"/>
      <c r="D62" s="15"/>
    </row>
    <row r="63" spans="1:4" ht="16.5" customHeight="1" thickBot="1" x14ac:dyDescent="0.3">
      <c r="A63" s="15"/>
      <c r="B63" s="15"/>
      <c r="C63" s="15"/>
      <c r="D63" s="15"/>
    </row>
    <row r="64" spans="1:4" ht="16.5" customHeight="1" thickBot="1" x14ac:dyDescent="0.3">
      <c r="A64" s="16" t="s">
        <v>86</v>
      </c>
      <c r="B64" s="17" t="s">
        <v>87</v>
      </c>
      <c r="C64" s="17" t="s">
        <v>55</v>
      </c>
      <c r="D64" s="15"/>
    </row>
    <row r="65" spans="1:4" ht="16.5" customHeight="1" thickBot="1" x14ac:dyDescent="0.3">
      <c r="A65" s="18" t="s">
        <v>32</v>
      </c>
      <c r="B65" s="19" t="s">
        <v>88</v>
      </c>
      <c r="C65" s="20">
        <f>('CÁLCULO TRANSPORTE-ALIMENTAÇÃO'!B49*'Custo Encarreg SEG-SEX - ITEM 2'!D65)-(C28*6%)</f>
        <v>71.990000000000009</v>
      </c>
      <c r="D65" s="106">
        <f>5.5*2</f>
        <v>11</v>
      </c>
    </row>
    <row r="66" spans="1:4" ht="16.5" customHeight="1" thickBot="1" x14ac:dyDescent="0.3">
      <c r="A66" s="18" t="s">
        <v>34</v>
      </c>
      <c r="B66" s="19" t="s">
        <v>89</v>
      </c>
      <c r="C66" s="20">
        <f>D66*'CÁLCULO TRANSPORTE-ALIMENTAÇÃO'!B49</f>
        <v>836</v>
      </c>
      <c r="D66" s="106">
        <v>38</v>
      </c>
    </row>
    <row r="67" spans="1:4" ht="16.5" customHeight="1" thickBot="1" x14ac:dyDescent="0.3">
      <c r="A67" s="18" t="s">
        <v>37</v>
      </c>
      <c r="B67" s="19" t="s">
        <v>90</v>
      </c>
      <c r="C67" s="20">
        <v>169.67</v>
      </c>
      <c r="D67" s="15"/>
    </row>
    <row r="68" spans="1:4" ht="16.5" customHeight="1" thickBot="1" x14ac:dyDescent="0.3">
      <c r="A68" s="18" t="s">
        <v>40</v>
      </c>
      <c r="B68" s="19" t="s">
        <v>91</v>
      </c>
      <c r="C68" s="20">
        <v>11.27</v>
      </c>
      <c r="D68" s="15"/>
    </row>
    <row r="69" spans="1:4" ht="16.5" customHeight="1" thickBot="1" x14ac:dyDescent="0.3">
      <c r="A69" s="18" t="s">
        <v>42</v>
      </c>
      <c r="B69" s="19" t="s">
        <v>92</v>
      </c>
      <c r="C69" s="20">
        <v>2.5</v>
      </c>
      <c r="D69" s="15"/>
    </row>
    <row r="70" spans="1:4" ht="16.5" customHeight="1" thickBot="1" x14ac:dyDescent="0.3">
      <c r="A70" s="195" t="s">
        <v>63</v>
      </c>
      <c r="B70" s="196"/>
      <c r="C70" s="21">
        <f>SUM(C65:C69)</f>
        <v>1091.43</v>
      </c>
      <c r="D70" s="15"/>
    </row>
    <row r="71" spans="1:4" ht="12" customHeight="1" x14ac:dyDescent="0.25">
      <c r="A71" s="15"/>
      <c r="B71" s="15"/>
      <c r="C71" s="15"/>
      <c r="D71" s="15"/>
    </row>
    <row r="72" spans="1:4" ht="12" customHeight="1" x14ac:dyDescent="0.25">
      <c r="A72" s="15"/>
      <c r="B72" s="15"/>
      <c r="C72" s="15"/>
      <c r="D72" s="15"/>
    </row>
    <row r="73" spans="1:4" ht="16.5" customHeight="1" x14ac:dyDescent="0.25">
      <c r="A73" s="194" t="s">
        <v>93</v>
      </c>
      <c r="B73" s="194"/>
      <c r="C73" s="194"/>
      <c r="D73" s="15"/>
    </row>
    <row r="74" spans="1:4" ht="16.5" customHeight="1" thickBot="1" x14ac:dyDescent="0.3">
      <c r="A74" s="15"/>
      <c r="B74" s="15"/>
      <c r="C74" s="15"/>
      <c r="D74" s="15"/>
    </row>
    <row r="75" spans="1:4" ht="16.5" customHeight="1" thickBot="1" x14ac:dyDescent="0.3">
      <c r="A75" s="16">
        <v>2</v>
      </c>
      <c r="B75" s="17" t="s">
        <v>94</v>
      </c>
      <c r="C75" s="17" t="s">
        <v>55</v>
      </c>
      <c r="D75" s="15"/>
    </row>
    <row r="76" spans="1:4" ht="16.5" customHeight="1" thickBot="1" x14ac:dyDescent="0.3">
      <c r="A76" s="18" t="s">
        <v>66</v>
      </c>
      <c r="B76" s="19" t="s">
        <v>95</v>
      </c>
      <c r="C76" s="20">
        <f>C45</f>
        <v>314.80185</v>
      </c>
      <c r="D76" s="15"/>
    </row>
    <row r="77" spans="1:4" ht="16.5" customHeight="1" thickBot="1" x14ac:dyDescent="0.3">
      <c r="A77" s="18" t="s">
        <v>71</v>
      </c>
      <c r="B77" s="19" t="s">
        <v>72</v>
      </c>
      <c r="C77" s="20">
        <f>D59</f>
        <v>1158.5750807999998</v>
      </c>
      <c r="D77" s="15"/>
    </row>
    <row r="78" spans="1:4" ht="16.5" customHeight="1" thickBot="1" x14ac:dyDescent="0.3">
      <c r="A78" s="18" t="s">
        <v>86</v>
      </c>
      <c r="B78" s="19" t="s">
        <v>87</v>
      </c>
      <c r="C78" s="20">
        <f>C70</f>
        <v>1091.43</v>
      </c>
      <c r="D78" s="15"/>
    </row>
    <row r="79" spans="1:4" ht="16.5" customHeight="1" thickBot="1" x14ac:dyDescent="0.3">
      <c r="A79" s="195" t="s">
        <v>63</v>
      </c>
      <c r="B79" s="196"/>
      <c r="C79" s="21">
        <f>SUM(C76:C78)</f>
        <v>2564.8069307999999</v>
      </c>
      <c r="D79" s="15"/>
    </row>
    <row r="80" spans="1:4" ht="12.75" customHeight="1" x14ac:dyDescent="0.25">
      <c r="A80" s="25"/>
      <c r="B80" s="15"/>
      <c r="C80" s="15"/>
      <c r="D80" s="15"/>
    </row>
    <row r="81" spans="1:4" ht="12.75" customHeight="1" x14ac:dyDescent="0.25">
      <c r="A81" s="15"/>
      <c r="B81" s="15"/>
      <c r="C81" s="15"/>
      <c r="D81" s="15"/>
    </row>
    <row r="82" spans="1:4" ht="16.5" customHeight="1" x14ac:dyDescent="0.25">
      <c r="A82" s="198" t="s">
        <v>96</v>
      </c>
      <c r="B82" s="198"/>
      <c r="C82" s="198"/>
      <c r="D82" s="15"/>
    </row>
    <row r="83" spans="1:4" ht="16.5" customHeight="1" thickBot="1" x14ac:dyDescent="0.3">
      <c r="A83" s="15"/>
      <c r="B83" s="15"/>
      <c r="C83" s="15"/>
      <c r="D83" s="15"/>
    </row>
    <row r="84" spans="1:4" ht="16.5" customHeight="1" thickBot="1" x14ac:dyDescent="0.3">
      <c r="A84" s="26">
        <v>3</v>
      </c>
      <c r="B84" s="27" t="s">
        <v>97</v>
      </c>
      <c r="C84" s="27" t="s">
        <v>55</v>
      </c>
      <c r="D84" s="15"/>
    </row>
    <row r="85" spans="1:4" ht="16.5" customHeight="1" thickBot="1" x14ac:dyDescent="0.3">
      <c r="A85" s="18" t="s">
        <v>32</v>
      </c>
      <c r="B85" s="28" t="s">
        <v>98</v>
      </c>
      <c r="C85" s="20">
        <f>(C35+C45+D59+C70)*0.26%</f>
        <v>14.035598020079998</v>
      </c>
      <c r="D85" s="15"/>
    </row>
    <row r="86" spans="1:4" ht="16.5" customHeight="1" thickBot="1" x14ac:dyDescent="0.3">
      <c r="A86" s="18" t="s">
        <v>34</v>
      </c>
      <c r="B86" s="28" t="s">
        <v>99</v>
      </c>
      <c r="C86" s="20">
        <f>(C35+C45)*0.02%</f>
        <v>0.62966036999999997</v>
      </c>
      <c r="D86" s="15"/>
    </row>
    <row r="87" spans="1:4" ht="16.5" customHeight="1" thickBot="1" x14ac:dyDescent="0.3">
      <c r="A87" s="18" t="s">
        <v>37</v>
      </c>
      <c r="B87" s="28" t="s">
        <v>100</v>
      </c>
      <c r="C87" s="20">
        <f>(C35+C45)*0.01%</f>
        <v>0.31483018499999998</v>
      </c>
      <c r="D87" s="15"/>
    </row>
    <row r="88" spans="1:4" ht="16.5" customHeight="1" thickBot="1" x14ac:dyDescent="0.3">
      <c r="A88" s="18" t="s">
        <v>40</v>
      </c>
      <c r="B88" s="28" t="s">
        <v>101</v>
      </c>
      <c r="C88" s="20">
        <f>(C35+C79)*1.03%</f>
        <v>55.602561387239994</v>
      </c>
      <c r="D88" s="15"/>
    </row>
    <row r="89" spans="1:4" ht="30.75" thickBot="1" x14ac:dyDescent="0.3">
      <c r="A89" s="18" t="s">
        <v>42</v>
      </c>
      <c r="B89" s="28" t="s">
        <v>102</v>
      </c>
      <c r="C89" s="20">
        <f>(C35+C45)*0.38%</f>
        <v>11.963547029999999</v>
      </c>
      <c r="D89" s="15"/>
    </row>
    <row r="90" spans="1:4" ht="16.5" customHeight="1" thickBot="1" x14ac:dyDescent="0.3">
      <c r="A90" s="18" t="s">
        <v>79</v>
      </c>
      <c r="B90" s="28" t="s">
        <v>103</v>
      </c>
      <c r="C90" s="20">
        <f>(C35+C45)*0.05%</f>
        <v>1.5741509249999999</v>
      </c>
      <c r="D90" s="15"/>
    </row>
    <row r="91" spans="1:4" ht="16.5" customHeight="1" thickBot="1" x14ac:dyDescent="0.3">
      <c r="A91" s="203" t="s">
        <v>63</v>
      </c>
      <c r="B91" s="204"/>
      <c r="C91" s="29">
        <f>SUM(C85:C90)</f>
        <v>84.12034791731999</v>
      </c>
      <c r="D91" s="15"/>
    </row>
    <row r="92" spans="1:4" ht="13.5" customHeight="1" x14ac:dyDescent="0.25">
      <c r="A92" s="15"/>
      <c r="B92" s="15"/>
      <c r="C92" s="15"/>
      <c r="D92" s="15"/>
    </row>
    <row r="93" spans="1:4" ht="13.5" customHeight="1" x14ac:dyDescent="0.25">
      <c r="A93" s="15"/>
      <c r="B93" s="15"/>
      <c r="C93" s="15"/>
      <c r="D93" s="15"/>
    </row>
    <row r="94" spans="1:4" ht="16.5" customHeight="1" x14ac:dyDescent="0.25">
      <c r="A94" s="198" t="s">
        <v>104</v>
      </c>
      <c r="B94" s="198"/>
      <c r="C94" s="198"/>
      <c r="D94" s="15"/>
    </row>
    <row r="95" spans="1:4" ht="16.5" customHeight="1" x14ac:dyDescent="0.25">
      <c r="A95" s="15"/>
      <c r="B95" s="15"/>
      <c r="C95" s="15"/>
      <c r="D95" s="15"/>
    </row>
    <row r="96" spans="1:4" ht="16.5" customHeight="1" x14ac:dyDescent="0.25">
      <c r="A96" s="194" t="s">
        <v>105</v>
      </c>
      <c r="B96" s="194"/>
      <c r="C96" s="194"/>
      <c r="D96" s="15"/>
    </row>
    <row r="97" spans="1:4" ht="16.5" customHeight="1" thickBot="1" x14ac:dyDescent="0.3">
      <c r="A97" s="22"/>
      <c r="B97" s="15"/>
      <c r="C97" s="15"/>
      <c r="D97" s="15"/>
    </row>
    <row r="98" spans="1:4" ht="16.5" customHeight="1" thickBot="1" x14ac:dyDescent="0.3">
      <c r="A98" s="16" t="s">
        <v>106</v>
      </c>
      <c r="B98" s="17" t="s">
        <v>107</v>
      </c>
      <c r="C98" s="17" t="s">
        <v>55</v>
      </c>
      <c r="D98" s="15"/>
    </row>
    <row r="99" spans="1:4" ht="16.5" customHeight="1" thickBot="1" x14ac:dyDescent="0.3">
      <c r="A99" s="18" t="s">
        <v>32</v>
      </c>
      <c r="B99" s="19" t="s">
        <v>108</v>
      </c>
      <c r="C99" s="20">
        <f>(C35+C79+C91)*8.33%</f>
        <v>456.68619231715269</v>
      </c>
      <c r="D99" s="15"/>
    </row>
    <row r="100" spans="1:4" ht="16.5" customHeight="1" thickBot="1" x14ac:dyDescent="0.3">
      <c r="A100" s="18" t="s">
        <v>34</v>
      </c>
      <c r="B100" s="19" t="s">
        <v>109</v>
      </c>
      <c r="C100" s="20">
        <f>(C35+C79+C91)*2.22%</f>
        <v>121.7098855875245</v>
      </c>
      <c r="D100" s="15"/>
    </row>
    <row r="101" spans="1:4" ht="16.5" customHeight="1" thickBot="1" x14ac:dyDescent="0.3">
      <c r="A101" s="18" t="s">
        <v>37</v>
      </c>
      <c r="B101" s="19" t="s">
        <v>110</v>
      </c>
      <c r="C101" s="20">
        <f>(C35+C79+C91)*0.04%</f>
        <v>2.192970911486928</v>
      </c>
      <c r="D101" s="15"/>
    </row>
    <row r="102" spans="1:4" ht="16.5" customHeight="1" thickBot="1" x14ac:dyDescent="0.3">
      <c r="A102" s="18" t="s">
        <v>40</v>
      </c>
      <c r="B102" s="19" t="s">
        <v>111</v>
      </c>
      <c r="C102" s="20">
        <f>(C35+C79+C91)*0.02%</f>
        <v>1.096485455743464</v>
      </c>
      <c r="D102" s="15"/>
    </row>
    <row r="103" spans="1:4" ht="16.5" customHeight="1" thickBot="1" x14ac:dyDescent="0.3">
      <c r="A103" s="18" t="s">
        <v>42</v>
      </c>
      <c r="B103" s="19" t="s">
        <v>112</v>
      </c>
      <c r="C103" s="20">
        <f>(C35+C79+C91)*0.14%</f>
        <v>7.6753981902042483</v>
      </c>
      <c r="D103" s="15"/>
    </row>
    <row r="104" spans="1:4" ht="16.5" customHeight="1" thickBot="1" x14ac:dyDescent="0.3">
      <c r="A104" s="18" t="s">
        <v>79</v>
      </c>
      <c r="B104" s="19" t="s">
        <v>62</v>
      </c>
      <c r="C104" s="20"/>
      <c r="D104" s="15"/>
    </row>
    <row r="105" spans="1:4" ht="16.5" customHeight="1" thickBot="1" x14ac:dyDescent="0.3">
      <c r="A105" s="195" t="s">
        <v>84</v>
      </c>
      <c r="B105" s="196"/>
      <c r="C105" s="21">
        <f>SUM(C99:C104)</f>
        <v>589.3609324621118</v>
      </c>
      <c r="D105" s="15"/>
    </row>
    <row r="106" spans="1:4" ht="13.5" customHeight="1" x14ac:dyDescent="0.25">
      <c r="A106" s="15"/>
      <c r="B106" s="15"/>
      <c r="C106" s="15"/>
      <c r="D106" s="15"/>
    </row>
    <row r="107" spans="1:4" ht="13.5" customHeight="1" x14ac:dyDescent="0.25">
      <c r="A107" s="15"/>
      <c r="B107" s="15"/>
      <c r="C107" s="15"/>
      <c r="D107" s="15"/>
    </row>
    <row r="108" spans="1:4" ht="16.5" customHeight="1" x14ac:dyDescent="0.25">
      <c r="A108" s="194" t="s">
        <v>113</v>
      </c>
      <c r="B108" s="194"/>
      <c r="C108" s="194"/>
      <c r="D108" s="15"/>
    </row>
    <row r="109" spans="1:4" ht="16.5" customHeight="1" thickBot="1" x14ac:dyDescent="0.3">
      <c r="A109" s="22"/>
      <c r="B109" s="15"/>
      <c r="C109" s="15"/>
      <c r="D109" s="15"/>
    </row>
    <row r="110" spans="1:4" ht="16.5" customHeight="1" thickBot="1" x14ac:dyDescent="0.3">
      <c r="A110" s="16" t="s">
        <v>114</v>
      </c>
      <c r="B110" s="17" t="s">
        <v>115</v>
      </c>
      <c r="C110" s="17" t="s">
        <v>55</v>
      </c>
      <c r="D110" s="15"/>
    </row>
    <row r="111" spans="1:4" ht="16.5" customHeight="1" thickBot="1" x14ac:dyDescent="0.3">
      <c r="A111" s="18" t="s">
        <v>32</v>
      </c>
      <c r="B111" s="19" t="s">
        <v>116</v>
      </c>
      <c r="C111" s="20"/>
      <c r="D111" s="15"/>
    </row>
    <row r="112" spans="1:4" ht="16.5" customHeight="1" thickBot="1" x14ac:dyDescent="0.3">
      <c r="A112" s="195" t="s">
        <v>63</v>
      </c>
      <c r="B112" s="196"/>
      <c r="C112" s="21"/>
      <c r="D112" s="15"/>
    </row>
    <row r="113" spans="1:4" ht="12.75" customHeight="1" x14ac:dyDescent="0.25">
      <c r="A113" s="15"/>
      <c r="B113" s="15"/>
      <c r="C113" s="15"/>
      <c r="D113" s="15"/>
    </row>
    <row r="114" spans="1:4" ht="12.75" customHeight="1" x14ac:dyDescent="0.25">
      <c r="A114" s="15"/>
      <c r="B114" s="15"/>
      <c r="C114" s="15"/>
      <c r="D114" s="15"/>
    </row>
    <row r="115" spans="1:4" ht="16.5" customHeight="1" x14ac:dyDescent="0.25">
      <c r="A115" s="194" t="s">
        <v>117</v>
      </c>
      <c r="B115" s="194"/>
      <c r="C115" s="194"/>
      <c r="D115" s="15"/>
    </row>
    <row r="116" spans="1:4" ht="16.5" customHeight="1" thickBot="1" x14ac:dyDescent="0.3">
      <c r="A116" s="22"/>
      <c r="B116" s="15"/>
      <c r="C116" s="15"/>
      <c r="D116" s="15"/>
    </row>
    <row r="117" spans="1:4" ht="16.5" customHeight="1" thickBot="1" x14ac:dyDescent="0.3">
      <c r="A117" s="16">
        <v>4</v>
      </c>
      <c r="B117" s="17" t="s">
        <v>118</v>
      </c>
      <c r="C117" s="17" t="s">
        <v>55</v>
      </c>
      <c r="D117" s="15"/>
    </row>
    <row r="118" spans="1:4" ht="16.5" customHeight="1" thickBot="1" x14ac:dyDescent="0.3">
      <c r="A118" s="18" t="s">
        <v>106</v>
      </c>
      <c r="B118" s="19" t="s">
        <v>107</v>
      </c>
      <c r="C118" s="20">
        <f>C105</f>
        <v>589.3609324621118</v>
      </c>
      <c r="D118" s="15"/>
    </row>
    <row r="119" spans="1:4" ht="16.5" customHeight="1" thickBot="1" x14ac:dyDescent="0.3">
      <c r="A119" s="18" t="s">
        <v>114</v>
      </c>
      <c r="B119" s="19" t="s">
        <v>115</v>
      </c>
      <c r="C119" s="20"/>
      <c r="D119" s="15"/>
    </row>
    <row r="120" spans="1:4" ht="16.5" customHeight="1" thickBot="1" x14ac:dyDescent="0.3">
      <c r="A120" s="195" t="s">
        <v>63</v>
      </c>
      <c r="B120" s="196"/>
      <c r="C120" s="21">
        <f>SUM(C118:C119)</f>
        <v>589.3609324621118</v>
      </c>
      <c r="D120" s="15"/>
    </row>
    <row r="121" spans="1:4" ht="13.5" customHeight="1" x14ac:dyDescent="0.25">
      <c r="A121" s="15"/>
      <c r="B121" s="15"/>
      <c r="C121" s="15"/>
      <c r="D121" s="15"/>
    </row>
    <row r="122" spans="1:4" ht="13.5" customHeight="1" x14ac:dyDescent="0.25">
      <c r="A122" s="15"/>
      <c r="B122" s="15"/>
      <c r="C122" s="15"/>
      <c r="D122" s="15"/>
    </row>
    <row r="123" spans="1:4" ht="16.5" customHeight="1" x14ac:dyDescent="0.25">
      <c r="A123" s="198" t="s">
        <v>119</v>
      </c>
      <c r="B123" s="198"/>
      <c r="C123" s="198"/>
      <c r="D123" s="15"/>
    </row>
    <row r="124" spans="1:4" ht="16.5" customHeight="1" thickBot="1" x14ac:dyDescent="0.3">
      <c r="A124" s="15"/>
      <c r="B124" s="15"/>
      <c r="C124" s="15"/>
      <c r="D124" s="15"/>
    </row>
    <row r="125" spans="1:4" ht="16.5" customHeight="1" thickBot="1" x14ac:dyDescent="0.3">
      <c r="A125" s="46">
        <v>5</v>
      </c>
      <c r="B125" s="47" t="s">
        <v>120</v>
      </c>
      <c r="C125" s="48" t="s">
        <v>55</v>
      </c>
      <c r="D125" s="15"/>
    </row>
    <row r="126" spans="1:4" ht="16.5" customHeight="1" thickBot="1" x14ac:dyDescent="0.3">
      <c r="A126" s="18" t="s">
        <v>32</v>
      </c>
      <c r="B126" s="19" t="s">
        <v>121</v>
      </c>
      <c r="C126" s="20">
        <f>Uniformes!E25</f>
        <v>54.012888888888895</v>
      </c>
      <c r="D126" s="15"/>
    </row>
    <row r="127" spans="1:4" ht="16.5" customHeight="1" thickBot="1" x14ac:dyDescent="0.3">
      <c r="A127" s="18" t="s">
        <v>34</v>
      </c>
      <c r="B127" s="19" t="s">
        <v>122</v>
      </c>
      <c r="C127" s="20">
        <f>'Materiais de Consumo'!G299</f>
        <v>323.51970588235287</v>
      </c>
      <c r="D127" s="15"/>
    </row>
    <row r="128" spans="1:4" ht="16.5" customHeight="1" thickBot="1" x14ac:dyDescent="0.3">
      <c r="A128" s="18" t="s">
        <v>37</v>
      </c>
      <c r="B128" s="19" t="s">
        <v>123</v>
      </c>
      <c r="C128" s="20">
        <f>Equipamentos!F32</f>
        <v>9.5659963235294114</v>
      </c>
      <c r="D128" s="15"/>
    </row>
    <row r="129" spans="1:4" ht="16.5" customHeight="1" thickBot="1" x14ac:dyDescent="0.3">
      <c r="A129" s="18" t="s">
        <v>40</v>
      </c>
      <c r="B129" s="19" t="s">
        <v>62</v>
      </c>
      <c r="C129" s="20"/>
      <c r="D129" s="15"/>
    </row>
    <row r="130" spans="1:4" ht="16.5" customHeight="1" thickBot="1" x14ac:dyDescent="0.3">
      <c r="A130" s="201" t="s">
        <v>84</v>
      </c>
      <c r="B130" s="202"/>
      <c r="C130" s="54">
        <f>SUM(C126:C129)</f>
        <v>387.09859109477117</v>
      </c>
      <c r="D130" s="15"/>
    </row>
    <row r="131" spans="1:4" ht="13.5" customHeight="1" x14ac:dyDescent="0.25">
      <c r="A131" s="15"/>
      <c r="B131" s="15"/>
      <c r="C131" s="15"/>
      <c r="D131" s="15"/>
    </row>
    <row r="132" spans="1:4" ht="13.5" customHeight="1" x14ac:dyDescent="0.25">
      <c r="A132" s="15"/>
      <c r="B132" s="15"/>
      <c r="C132" s="15"/>
      <c r="D132" s="15"/>
    </row>
    <row r="133" spans="1:4" ht="16.5" customHeight="1" x14ac:dyDescent="0.25">
      <c r="A133" s="198" t="s">
        <v>124</v>
      </c>
      <c r="B133" s="198"/>
      <c r="C133" s="198"/>
      <c r="D133" s="15"/>
    </row>
    <row r="134" spans="1:4" ht="16.5" customHeight="1" thickBot="1" x14ac:dyDescent="0.3">
      <c r="A134" s="15"/>
      <c r="B134" s="15"/>
      <c r="C134" s="15"/>
      <c r="D134" s="15"/>
    </row>
    <row r="135" spans="1:4" ht="16.5" customHeight="1" thickBot="1" x14ac:dyDescent="0.3">
      <c r="A135" s="16">
        <v>6</v>
      </c>
      <c r="B135" s="30" t="s">
        <v>125</v>
      </c>
      <c r="C135" s="17" t="s">
        <v>126</v>
      </c>
      <c r="D135" s="17" t="s">
        <v>55</v>
      </c>
    </row>
    <row r="136" spans="1:4" ht="16.5" customHeight="1" thickBot="1" x14ac:dyDescent="0.3">
      <c r="A136" s="18" t="s">
        <v>32</v>
      </c>
      <c r="B136" s="19" t="s">
        <v>127</v>
      </c>
      <c r="C136" s="23">
        <v>4.7300000000000002E-2</v>
      </c>
      <c r="D136" s="20">
        <f>(C35+C79+C91+C120+C130)*C136</f>
        <v>305.50534574756978</v>
      </c>
    </row>
    <row r="137" spans="1:4" ht="15.75" thickBot="1" x14ac:dyDescent="0.3">
      <c r="A137" s="18" t="s">
        <v>34</v>
      </c>
      <c r="B137" s="19" t="s">
        <v>128</v>
      </c>
      <c r="C137" s="23">
        <v>3.9E-2</v>
      </c>
      <c r="D137" s="20">
        <f>(C35+C79+C91+C120+C130+D136)*C137</f>
        <v>263.81129377284913</v>
      </c>
    </row>
    <row r="138" spans="1:4" ht="15.75" thickBot="1" x14ac:dyDescent="0.3">
      <c r="A138" s="18" t="s">
        <v>37</v>
      </c>
      <c r="B138" s="19" t="s">
        <v>129</v>
      </c>
      <c r="C138" s="23">
        <f>SUM(C139:C141)</f>
        <v>8.6499999999999994E-2</v>
      </c>
      <c r="D138" s="20">
        <f>(C35+C79+C91+C120+C130+D136+D137)/(1-C138)*C138</f>
        <v>665.50585409440043</v>
      </c>
    </row>
    <row r="139" spans="1:4" ht="15.75" thickBot="1" x14ac:dyDescent="0.3">
      <c r="A139" s="18"/>
      <c r="B139" s="19" t="s">
        <v>130</v>
      </c>
      <c r="C139" s="23">
        <v>3.6499999999999998E-2</v>
      </c>
      <c r="D139" s="20"/>
    </row>
    <row r="140" spans="1:4" ht="15.75" thickBot="1" x14ac:dyDescent="0.3">
      <c r="A140" s="18"/>
      <c r="B140" s="19" t="s">
        <v>131</v>
      </c>
      <c r="C140" s="23"/>
      <c r="D140" s="20"/>
    </row>
    <row r="141" spans="1:4" ht="15.75" thickBot="1" x14ac:dyDescent="0.3">
      <c r="A141" s="18"/>
      <c r="B141" s="19" t="s">
        <v>132</v>
      </c>
      <c r="C141" s="23">
        <v>0.05</v>
      </c>
      <c r="D141" s="20"/>
    </row>
    <row r="142" spans="1:4" ht="16.5" thickBot="1" x14ac:dyDescent="0.3">
      <c r="A142" s="195" t="s">
        <v>84</v>
      </c>
      <c r="B142" s="196"/>
      <c r="C142" s="24">
        <f>SUM(C136:C138)</f>
        <v>0.17280000000000001</v>
      </c>
      <c r="D142" s="21">
        <f>SUM(D136:D138)</f>
        <v>1234.8224936148195</v>
      </c>
    </row>
    <row r="143" spans="1:4" ht="13.5" customHeight="1" x14ac:dyDescent="0.25">
      <c r="A143" s="15"/>
      <c r="B143" s="15"/>
      <c r="C143" s="15"/>
      <c r="D143" s="15"/>
    </row>
    <row r="144" spans="1:4" ht="13.5" customHeight="1" x14ac:dyDescent="0.25">
      <c r="A144" s="15"/>
      <c r="B144" s="15"/>
      <c r="C144" s="15"/>
      <c r="D144" s="15"/>
    </row>
    <row r="145" spans="1:4" ht="15.75" x14ac:dyDescent="0.25">
      <c r="A145" s="198" t="s">
        <v>133</v>
      </c>
      <c r="B145" s="198"/>
      <c r="C145" s="198"/>
      <c r="D145" s="15"/>
    </row>
    <row r="146" spans="1:4" ht="16.5" thickBot="1" x14ac:dyDescent="0.3">
      <c r="A146" s="15"/>
      <c r="B146" s="15"/>
      <c r="C146" s="15"/>
      <c r="D146" s="15"/>
    </row>
    <row r="147" spans="1:4" ht="32.25" thickBot="1" x14ac:dyDescent="0.3">
      <c r="A147" s="16"/>
      <c r="B147" s="17" t="s">
        <v>134</v>
      </c>
      <c r="C147" s="17" t="s">
        <v>55</v>
      </c>
      <c r="D147" s="15"/>
    </row>
    <row r="148" spans="1:4" ht="16.5" thickBot="1" x14ac:dyDescent="0.3">
      <c r="A148" s="31" t="s">
        <v>32</v>
      </c>
      <c r="B148" s="19" t="s">
        <v>53</v>
      </c>
      <c r="C148" s="32">
        <f>C35</f>
        <v>2833.5</v>
      </c>
      <c r="D148" s="15"/>
    </row>
    <row r="149" spans="1:4" ht="16.5" thickBot="1" x14ac:dyDescent="0.3">
      <c r="A149" s="31" t="s">
        <v>34</v>
      </c>
      <c r="B149" s="19" t="s">
        <v>64</v>
      </c>
      <c r="C149" s="32">
        <f>C79</f>
        <v>2564.8069307999999</v>
      </c>
      <c r="D149" s="15"/>
    </row>
    <row r="150" spans="1:4" ht="16.5" thickBot="1" x14ac:dyDescent="0.3">
      <c r="A150" s="31" t="s">
        <v>37</v>
      </c>
      <c r="B150" s="19" t="s">
        <v>96</v>
      </c>
      <c r="C150" s="32">
        <f>C91</f>
        <v>84.12034791731999</v>
      </c>
      <c r="D150" s="15"/>
    </row>
    <row r="151" spans="1:4" ht="16.5" thickBot="1" x14ac:dyDescent="0.3">
      <c r="A151" s="31" t="s">
        <v>40</v>
      </c>
      <c r="B151" s="19" t="s">
        <v>104</v>
      </c>
      <c r="C151" s="32">
        <f>C120</f>
        <v>589.3609324621118</v>
      </c>
      <c r="D151" s="15"/>
    </row>
    <row r="152" spans="1:4" ht="16.5" thickBot="1" x14ac:dyDescent="0.3">
      <c r="A152" s="31" t="s">
        <v>42</v>
      </c>
      <c r="B152" s="19" t="s">
        <v>119</v>
      </c>
      <c r="C152" s="32">
        <f>C130</f>
        <v>387.09859109477117</v>
      </c>
      <c r="D152" s="15"/>
    </row>
    <row r="153" spans="1:4" ht="16.5" thickBot="1" x14ac:dyDescent="0.3">
      <c r="A153" s="195" t="s">
        <v>135</v>
      </c>
      <c r="B153" s="196"/>
      <c r="C153" s="33">
        <f>SUM(C148:C152)</f>
        <v>6458.8868022742026</v>
      </c>
      <c r="D153" s="15"/>
    </row>
    <row r="154" spans="1:4" ht="16.5" thickBot="1" x14ac:dyDescent="0.3">
      <c r="A154" s="31" t="s">
        <v>79</v>
      </c>
      <c r="B154" s="19" t="s">
        <v>136</v>
      </c>
      <c r="C154" s="32">
        <f>D142</f>
        <v>1234.8224936148195</v>
      </c>
      <c r="D154" s="15"/>
    </row>
    <row r="155" spans="1:4" ht="16.5" thickBot="1" x14ac:dyDescent="0.3">
      <c r="A155" s="195" t="s">
        <v>137</v>
      </c>
      <c r="B155" s="196"/>
      <c r="C155" s="127">
        <f>SUM(C153:C154)</f>
        <v>7693.7092958890225</v>
      </c>
      <c r="D155" s="15"/>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8" fitToHeight="0" orientation="portrait" horizontalDpi="300" verticalDpi="300" r:id="rId1"/>
  <headerFooter>
    <oddHeader>&amp;C&amp;"Arial,Negrito"&amp;14&amp;UPLANILHA DE CUSTO - ENCARREGADO DE SEGUNDA À SEXTA-FEIRA - ITEM 2</oddHeader>
  </headerFooter>
  <rowBreaks count="2" manualBreakCount="2">
    <brk id="47" max="16383" man="1"/>
    <brk id="1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55"/>
  <sheetViews>
    <sheetView showGridLines="0" zoomScaleNormal="100" workbookViewId="0">
      <selection activeCell="B9" sqref="B9"/>
    </sheetView>
  </sheetViews>
  <sheetFormatPr defaultRowHeight="15" x14ac:dyDescent="0.2"/>
  <cols>
    <col min="1" max="1" width="12.140625" style="15" customWidth="1"/>
    <col min="2" max="2" width="72.140625" style="15" customWidth="1"/>
    <col min="3" max="3" width="20.85546875" style="15" customWidth="1"/>
    <col min="4" max="4" width="20.140625" style="15" customWidth="1"/>
    <col min="5" max="5" width="12.7109375" style="15" customWidth="1"/>
    <col min="6" max="6" width="12" style="15" customWidth="1"/>
    <col min="7" max="7" width="15.140625" style="15" customWidth="1"/>
    <col min="8" max="16384" width="9.140625" style="15"/>
  </cols>
  <sheetData>
    <row r="1" spans="1:4" ht="23.25" x14ac:dyDescent="0.35">
      <c r="A1" s="200" t="s">
        <v>26</v>
      </c>
      <c r="B1" s="200"/>
      <c r="C1" s="200"/>
      <c r="D1" s="200"/>
    </row>
    <row r="2" spans="1:4" x14ac:dyDescent="0.2">
      <c r="A2" s="205" t="s">
        <v>27</v>
      </c>
      <c r="B2" s="205"/>
      <c r="C2" s="205"/>
      <c r="D2" s="205"/>
    </row>
    <row r="4" spans="1:4" ht="17.25" customHeight="1" x14ac:dyDescent="0.2">
      <c r="A4" s="34"/>
      <c r="B4" s="35" t="s">
        <v>28</v>
      </c>
      <c r="C4" s="37" t="s">
        <v>29</v>
      </c>
    </row>
    <row r="5" spans="1:4" ht="17.25" customHeight="1" x14ac:dyDescent="0.2">
      <c r="A5" s="34"/>
      <c r="B5" s="35" t="s">
        <v>30</v>
      </c>
      <c r="C5" s="36"/>
    </row>
    <row r="7" spans="1:4" ht="18" customHeight="1" x14ac:dyDescent="0.2">
      <c r="A7" s="198" t="s">
        <v>143</v>
      </c>
      <c r="B7" s="198"/>
      <c r="C7" s="198"/>
    </row>
    <row r="8" spans="1:4" ht="15" customHeight="1" x14ac:dyDescent="0.2">
      <c r="A8" s="38"/>
      <c r="B8" s="38"/>
      <c r="C8" s="38"/>
    </row>
    <row r="9" spans="1:4" ht="18" customHeight="1" x14ac:dyDescent="0.2">
      <c r="A9" s="37" t="s">
        <v>32</v>
      </c>
      <c r="B9" s="39" t="s">
        <v>33</v>
      </c>
      <c r="C9" s="37"/>
    </row>
    <row r="10" spans="1:4" ht="18" customHeight="1" x14ac:dyDescent="0.2">
      <c r="A10" s="37" t="s">
        <v>34</v>
      </c>
      <c r="B10" s="39" t="s">
        <v>35</v>
      </c>
      <c r="C10" s="37" t="s">
        <v>36</v>
      </c>
    </row>
    <row r="11" spans="1:4" ht="30" x14ac:dyDescent="0.2">
      <c r="A11" s="37" t="s">
        <v>37</v>
      </c>
      <c r="B11" s="39" t="s">
        <v>38</v>
      </c>
      <c r="C11" s="43" t="s">
        <v>39</v>
      </c>
    </row>
    <row r="12" spans="1:4" ht="18" customHeight="1" x14ac:dyDescent="0.2">
      <c r="A12" s="37" t="s">
        <v>40</v>
      </c>
      <c r="B12" s="39" t="s">
        <v>41</v>
      </c>
      <c r="C12" s="37">
        <v>30</v>
      </c>
    </row>
    <row r="13" spans="1:4" ht="30" x14ac:dyDescent="0.2">
      <c r="A13" s="37" t="s">
        <v>42</v>
      </c>
      <c r="B13" s="122" t="s">
        <v>149</v>
      </c>
      <c r="C13" s="105">
        <f>'QTD TOTAL SERVENTE-ENCARREGADO'!C6</f>
        <v>19</v>
      </c>
    </row>
    <row r="14" spans="1:4" ht="12.75" customHeight="1" x14ac:dyDescent="0.2"/>
    <row r="15" spans="1:4" ht="12.75" customHeight="1" x14ac:dyDescent="0.2">
      <c r="A15" s="45"/>
      <c r="B15" s="45"/>
    </row>
    <row r="16" spans="1:4" ht="17.25" customHeight="1" x14ac:dyDescent="0.2">
      <c r="A16" s="198" t="s">
        <v>44</v>
      </c>
      <c r="B16" s="198"/>
      <c r="C16" s="198"/>
    </row>
    <row r="17" spans="1:3" ht="12.75" customHeight="1" x14ac:dyDescent="0.2"/>
    <row r="18" spans="1:3" ht="15.75" x14ac:dyDescent="0.25">
      <c r="A18" s="199" t="s">
        <v>45</v>
      </c>
      <c r="B18" s="199"/>
      <c r="C18" s="199"/>
    </row>
    <row r="19" spans="1:3" ht="15" customHeight="1" x14ac:dyDescent="0.25">
      <c r="A19" s="40"/>
      <c r="B19" s="40"/>
      <c r="C19" s="40"/>
    </row>
    <row r="20" spans="1:3" ht="30" x14ac:dyDescent="0.2">
      <c r="A20" s="41">
        <v>1</v>
      </c>
      <c r="B20" s="42" t="s">
        <v>46</v>
      </c>
      <c r="C20" s="43" t="s">
        <v>47</v>
      </c>
    </row>
    <row r="21" spans="1:3" ht="18" customHeight="1" x14ac:dyDescent="0.2">
      <c r="A21" s="41">
        <v>2</v>
      </c>
      <c r="B21" s="42" t="s">
        <v>48</v>
      </c>
      <c r="C21" s="37" t="s">
        <v>49</v>
      </c>
    </row>
    <row r="22" spans="1:3" ht="30" x14ac:dyDescent="0.2">
      <c r="A22" s="41">
        <v>3</v>
      </c>
      <c r="B22" s="42" t="s">
        <v>50</v>
      </c>
      <c r="C22" s="43" t="s">
        <v>145</v>
      </c>
    </row>
    <row r="23" spans="1:3" ht="17.25" customHeight="1" x14ac:dyDescent="0.2">
      <c r="A23" s="37">
        <v>4</v>
      </c>
      <c r="B23" s="42" t="s">
        <v>52</v>
      </c>
      <c r="C23" s="44">
        <v>44562</v>
      </c>
    </row>
    <row r="25" spans="1:3" ht="15.75" x14ac:dyDescent="0.2">
      <c r="A25" s="198" t="s">
        <v>53</v>
      </c>
      <c r="B25" s="198"/>
      <c r="C25" s="198"/>
    </row>
    <row r="26" spans="1:3" ht="15.75" thickBot="1" x14ac:dyDescent="0.25"/>
    <row r="27" spans="1:3" ht="16.5" thickBot="1" x14ac:dyDescent="0.25">
      <c r="A27" s="16">
        <v>1</v>
      </c>
      <c r="B27" s="17" t="s">
        <v>54</v>
      </c>
      <c r="C27" s="17" t="s">
        <v>55</v>
      </c>
    </row>
    <row r="28" spans="1:3" ht="15.75" thickBot="1" x14ac:dyDescent="0.25">
      <c r="A28" s="18" t="s">
        <v>32</v>
      </c>
      <c r="B28" s="19" t="s">
        <v>56</v>
      </c>
      <c r="C28" s="20">
        <v>1416.75</v>
      </c>
    </row>
    <row r="29" spans="1:3" ht="15.75" thickBot="1" x14ac:dyDescent="0.25">
      <c r="A29" s="18" t="s">
        <v>34</v>
      </c>
      <c r="B29" s="19" t="s">
        <v>57</v>
      </c>
      <c r="C29" s="20"/>
    </row>
    <row r="30" spans="1:3" ht="15.75" thickBot="1" x14ac:dyDescent="0.25">
      <c r="A30" s="18" t="s">
        <v>37</v>
      </c>
      <c r="B30" s="19" t="s">
        <v>58</v>
      </c>
      <c r="C30" s="20"/>
    </row>
    <row r="31" spans="1:3" ht="15.75" thickBot="1" x14ac:dyDescent="0.25">
      <c r="A31" s="18" t="s">
        <v>40</v>
      </c>
      <c r="B31" s="19" t="s">
        <v>59</v>
      </c>
      <c r="C31" s="20"/>
    </row>
    <row r="32" spans="1:3" ht="15.75" thickBot="1" x14ac:dyDescent="0.25">
      <c r="A32" s="18" t="s">
        <v>42</v>
      </c>
      <c r="B32" s="19" t="s">
        <v>60</v>
      </c>
      <c r="C32" s="20"/>
    </row>
    <row r="33" spans="1:4" ht="15.75" thickBot="1" x14ac:dyDescent="0.25">
      <c r="A33" s="18"/>
      <c r="B33" s="19"/>
      <c r="C33" s="20"/>
    </row>
    <row r="34" spans="1:4" ht="15.75" thickBot="1" x14ac:dyDescent="0.25">
      <c r="A34" s="18" t="s">
        <v>61</v>
      </c>
      <c r="B34" s="19" t="s">
        <v>62</v>
      </c>
      <c r="C34" s="20"/>
    </row>
    <row r="35" spans="1:4" ht="16.5" thickBot="1" x14ac:dyDescent="0.25">
      <c r="A35" s="195" t="s">
        <v>63</v>
      </c>
      <c r="B35" s="196"/>
      <c r="C35" s="21">
        <f>SUM(C28:C34)</f>
        <v>1416.75</v>
      </c>
    </row>
    <row r="36" spans="1:4" ht="12.75" customHeight="1" x14ac:dyDescent="0.2"/>
    <row r="37" spans="1:4" ht="12.75" customHeight="1" x14ac:dyDescent="0.2"/>
    <row r="38" spans="1:4" ht="15.75" x14ac:dyDescent="0.2">
      <c r="A38" s="198" t="s">
        <v>64</v>
      </c>
      <c r="B38" s="198"/>
      <c r="C38" s="198"/>
    </row>
    <row r="39" spans="1:4" ht="15.75" x14ac:dyDescent="0.2">
      <c r="A39" s="22"/>
    </row>
    <row r="40" spans="1:4" ht="15.75" x14ac:dyDescent="0.2">
      <c r="A40" s="194" t="s">
        <v>65</v>
      </c>
      <c r="B40" s="194"/>
      <c r="C40" s="194"/>
    </row>
    <row r="41" spans="1:4" ht="15.75" thickBot="1" x14ac:dyDescent="0.25"/>
    <row r="42" spans="1:4" ht="16.5" thickBot="1" x14ac:dyDescent="0.25">
      <c r="A42" s="16" t="s">
        <v>66</v>
      </c>
      <c r="B42" s="17" t="s">
        <v>67</v>
      </c>
      <c r="C42" s="17" t="s">
        <v>55</v>
      </c>
    </row>
    <row r="43" spans="1:4" ht="15.75" thickBot="1" x14ac:dyDescent="0.25">
      <c r="A43" s="18" t="s">
        <v>32</v>
      </c>
      <c r="B43" s="19" t="s">
        <v>68</v>
      </c>
      <c r="C43" s="20">
        <f>C35*8.33%</f>
        <v>118.015275</v>
      </c>
    </row>
    <row r="44" spans="1:4" ht="15.75" thickBot="1" x14ac:dyDescent="0.25">
      <c r="A44" s="18" t="s">
        <v>34</v>
      </c>
      <c r="B44" s="19" t="s">
        <v>69</v>
      </c>
      <c r="C44" s="20">
        <f>C35*2.78%</f>
        <v>39.385649999999998</v>
      </c>
    </row>
    <row r="45" spans="1:4" ht="16.5" thickBot="1" x14ac:dyDescent="0.25">
      <c r="A45" s="195" t="s">
        <v>63</v>
      </c>
      <c r="B45" s="196"/>
      <c r="C45" s="21">
        <f>SUM(C43:C44)</f>
        <v>157.400925</v>
      </c>
    </row>
    <row r="46" spans="1:4" ht="12.75" customHeight="1" x14ac:dyDescent="0.2"/>
    <row r="47" spans="1:4" ht="12.75" customHeight="1" x14ac:dyDescent="0.2"/>
    <row r="48" spans="1:4" ht="32.25" customHeight="1" x14ac:dyDescent="0.2">
      <c r="A48" s="197" t="s">
        <v>70</v>
      </c>
      <c r="B48" s="197"/>
      <c r="C48" s="197"/>
      <c r="D48" s="197"/>
    </row>
    <row r="49" spans="1:4" ht="15.75" thickBot="1" x14ac:dyDescent="0.25"/>
    <row r="50" spans="1:4" ht="16.5" thickBot="1" x14ac:dyDescent="0.25">
      <c r="A50" s="16" t="s">
        <v>71</v>
      </c>
      <c r="B50" s="17" t="s">
        <v>72</v>
      </c>
      <c r="C50" s="17" t="s">
        <v>73</v>
      </c>
      <c r="D50" s="17" t="s">
        <v>55</v>
      </c>
    </row>
    <row r="51" spans="1:4" ht="15.75" thickBot="1" x14ac:dyDescent="0.25">
      <c r="A51" s="18" t="s">
        <v>32</v>
      </c>
      <c r="B51" s="19" t="s">
        <v>74</v>
      </c>
      <c r="C51" s="23">
        <v>0.2</v>
      </c>
      <c r="D51" s="20">
        <f t="shared" ref="D51:D58" si="0">($C$35+$C$45)*C51</f>
        <v>314.83018500000003</v>
      </c>
    </row>
    <row r="52" spans="1:4" ht="15.75" thickBot="1" x14ac:dyDescent="0.25">
      <c r="A52" s="18" t="s">
        <v>34</v>
      </c>
      <c r="B52" s="19" t="s">
        <v>75</v>
      </c>
      <c r="C52" s="23">
        <v>2.5000000000000001E-2</v>
      </c>
      <c r="D52" s="20">
        <f t="shared" si="0"/>
        <v>39.353773125000004</v>
      </c>
    </row>
    <row r="53" spans="1:4" ht="15.75" thickBot="1" x14ac:dyDescent="0.25">
      <c r="A53" s="18" t="s">
        <v>37</v>
      </c>
      <c r="B53" s="19" t="s">
        <v>76</v>
      </c>
      <c r="C53" s="23">
        <v>0.03</v>
      </c>
      <c r="D53" s="20">
        <f t="shared" si="0"/>
        <v>47.224527749999993</v>
      </c>
    </row>
    <row r="54" spans="1:4" ht="15.75" thickBot="1" x14ac:dyDescent="0.25">
      <c r="A54" s="18" t="s">
        <v>40</v>
      </c>
      <c r="B54" s="19" t="s">
        <v>77</v>
      </c>
      <c r="C54" s="23">
        <v>1.4999999999999999E-2</v>
      </c>
      <c r="D54" s="20">
        <f t="shared" si="0"/>
        <v>23.612263874999996</v>
      </c>
    </row>
    <row r="55" spans="1:4" ht="15.75" thickBot="1" x14ac:dyDescent="0.25">
      <c r="A55" s="18" t="s">
        <v>42</v>
      </c>
      <c r="B55" s="19" t="s">
        <v>78</v>
      </c>
      <c r="C55" s="23">
        <v>0.01</v>
      </c>
      <c r="D55" s="20">
        <f t="shared" si="0"/>
        <v>15.74150925</v>
      </c>
    </row>
    <row r="56" spans="1:4" ht="15.75" thickBot="1" x14ac:dyDescent="0.25">
      <c r="A56" s="18" t="s">
        <v>79</v>
      </c>
      <c r="B56" s="19" t="s">
        <v>80</v>
      </c>
      <c r="C56" s="23">
        <v>6.0000000000000001E-3</v>
      </c>
      <c r="D56" s="20">
        <f t="shared" si="0"/>
        <v>9.4449055499999996</v>
      </c>
    </row>
    <row r="57" spans="1:4" ht="15.75" thickBot="1" x14ac:dyDescent="0.25">
      <c r="A57" s="18" t="s">
        <v>61</v>
      </c>
      <c r="B57" s="19" t="s">
        <v>81</v>
      </c>
      <c r="C57" s="23">
        <v>2E-3</v>
      </c>
      <c r="D57" s="20">
        <f t="shared" si="0"/>
        <v>3.1483018499999997</v>
      </c>
    </row>
    <row r="58" spans="1:4" ht="15.75" thickBot="1" x14ac:dyDescent="0.25">
      <c r="A58" s="18" t="s">
        <v>82</v>
      </c>
      <c r="B58" s="19" t="s">
        <v>83</v>
      </c>
      <c r="C58" s="23">
        <v>0.08</v>
      </c>
      <c r="D58" s="20">
        <f t="shared" si="0"/>
        <v>125.932074</v>
      </c>
    </row>
    <row r="59" spans="1:4" ht="16.5" thickBot="1" x14ac:dyDescent="0.25">
      <c r="A59" s="195" t="s">
        <v>84</v>
      </c>
      <c r="B59" s="196"/>
      <c r="C59" s="24">
        <f>SUM(C51:C58)</f>
        <v>0.36800000000000005</v>
      </c>
      <c r="D59" s="21">
        <f>SUM(D51:D58)</f>
        <v>579.2875403999999</v>
      </c>
    </row>
    <row r="60" spans="1:4" ht="12.75" customHeight="1" x14ac:dyDescent="0.2"/>
    <row r="61" spans="1:4" ht="12.75" customHeight="1" x14ac:dyDescent="0.2"/>
    <row r="62" spans="1:4" ht="15.75" x14ac:dyDescent="0.2">
      <c r="A62" s="194" t="s">
        <v>85</v>
      </c>
      <c r="B62" s="194"/>
      <c r="C62" s="194"/>
    </row>
    <row r="63" spans="1:4" ht="15.75" thickBot="1" x14ac:dyDescent="0.25"/>
    <row r="64" spans="1:4" ht="16.5" thickBot="1" x14ac:dyDescent="0.25">
      <c r="A64" s="16" t="s">
        <v>86</v>
      </c>
      <c r="B64" s="17" t="s">
        <v>87</v>
      </c>
      <c r="C64" s="17" t="s">
        <v>55</v>
      </c>
    </row>
    <row r="65" spans="1:4" ht="15.75" thickBot="1" x14ac:dyDescent="0.25">
      <c r="A65" s="18" t="s">
        <v>32</v>
      </c>
      <c r="B65" s="19" t="s">
        <v>88</v>
      </c>
      <c r="C65" s="20">
        <f>('CÁLCULO TRANSPORTE-ALIMENTAÇÃO'!B38*'Custo Servente SEG-SEX - ITEM 3'!D65)-(C28*6%)</f>
        <v>156.995</v>
      </c>
      <c r="D65" s="106">
        <f>5.5*2</f>
        <v>11</v>
      </c>
    </row>
    <row r="66" spans="1:4" ht="15.75" thickBot="1" x14ac:dyDescent="0.25">
      <c r="A66" s="18" t="s">
        <v>34</v>
      </c>
      <c r="B66" s="19" t="s">
        <v>89</v>
      </c>
      <c r="C66" s="20">
        <f>D66*'CÁLCULO TRANSPORTE-ALIMENTAÇÃO'!B38</f>
        <v>836</v>
      </c>
      <c r="D66" s="106">
        <v>38</v>
      </c>
    </row>
    <row r="67" spans="1:4" ht="15.75" thickBot="1" x14ac:dyDescent="0.25">
      <c r="A67" s="18" t="s">
        <v>37</v>
      </c>
      <c r="B67" s="19" t="s">
        <v>90</v>
      </c>
      <c r="C67" s="20">
        <v>169.67</v>
      </c>
    </row>
    <row r="68" spans="1:4" ht="15.75" thickBot="1" x14ac:dyDescent="0.25">
      <c r="A68" s="18" t="s">
        <v>40</v>
      </c>
      <c r="B68" s="19" t="s">
        <v>91</v>
      </c>
      <c r="C68" s="20">
        <v>11.27</v>
      </c>
    </row>
    <row r="69" spans="1:4" ht="15.75" thickBot="1" x14ac:dyDescent="0.25">
      <c r="A69" s="18" t="s">
        <v>42</v>
      </c>
      <c r="B69" s="19" t="s">
        <v>92</v>
      </c>
      <c r="C69" s="20">
        <v>2.5</v>
      </c>
    </row>
    <row r="70" spans="1:4" ht="16.5" thickBot="1" x14ac:dyDescent="0.25">
      <c r="A70" s="195" t="s">
        <v>63</v>
      </c>
      <c r="B70" s="196"/>
      <c r="C70" s="21">
        <f>SUM(C65:C69)</f>
        <v>1176.4349999999999</v>
      </c>
    </row>
    <row r="71" spans="1:4" ht="12.75" customHeight="1" x14ac:dyDescent="0.2"/>
    <row r="72" spans="1:4" ht="12.75" customHeight="1" x14ac:dyDescent="0.2"/>
    <row r="73" spans="1:4" ht="15.75" x14ac:dyDescent="0.2">
      <c r="A73" s="194" t="s">
        <v>93</v>
      </c>
      <c r="B73" s="194"/>
      <c r="C73" s="194"/>
    </row>
    <row r="74" spans="1:4" ht="15.75" thickBot="1" x14ac:dyDescent="0.25"/>
    <row r="75" spans="1:4" ht="16.5" thickBot="1" x14ac:dyDescent="0.25">
      <c r="A75" s="16">
        <v>2</v>
      </c>
      <c r="B75" s="17" t="s">
        <v>94</v>
      </c>
      <c r="C75" s="17" t="s">
        <v>55</v>
      </c>
    </row>
    <row r="76" spans="1:4" ht="15.75" thickBot="1" x14ac:dyDescent="0.25">
      <c r="A76" s="18" t="s">
        <v>66</v>
      </c>
      <c r="B76" s="19" t="s">
        <v>95</v>
      </c>
      <c r="C76" s="20">
        <f>C45</f>
        <v>157.400925</v>
      </c>
    </row>
    <row r="77" spans="1:4" ht="15.75" thickBot="1" x14ac:dyDescent="0.25">
      <c r="A77" s="18" t="s">
        <v>71</v>
      </c>
      <c r="B77" s="19" t="s">
        <v>72</v>
      </c>
      <c r="C77" s="20">
        <f>D59</f>
        <v>579.2875403999999</v>
      </c>
    </row>
    <row r="78" spans="1:4" ht="15.75" thickBot="1" x14ac:dyDescent="0.25">
      <c r="A78" s="18" t="s">
        <v>86</v>
      </c>
      <c r="B78" s="19" t="s">
        <v>87</v>
      </c>
      <c r="C78" s="20">
        <f>C70</f>
        <v>1176.4349999999999</v>
      </c>
    </row>
    <row r="79" spans="1:4" ht="16.5" thickBot="1" x14ac:dyDescent="0.25">
      <c r="A79" s="195" t="s">
        <v>63</v>
      </c>
      <c r="B79" s="196"/>
      <c r="C79" s="21">
        <f>SUM(C76:C78)</f>
        <v>1913.1234654</v>
      </c>
    </row>
    <row r="80" spans="1:4" ht="12.75" customHeight="1" x14ac:dyDescent="0.2">
      <c r="A80" s="25"/>
    </row>
    <row r="81" spans="1:3" ht="12.75" customHeight="1" x14ac:dyDescent="0.2"/>
    <row r="82" spans="1:3" ht="15.75" x14ac:dyDescent="0.2">
      <c r="A82" s="198" t="s">
        <v>96</v>
      </c>
      <c r="B82" s="198"/>
      <c r="C82" s="198"/>
    </row>
    <row r="83" spans="1:3" ht="15.75" thickBot="1" x14ac:dyDescent="0.25"/>
    <row r="84" spans="1:3" ht="16.5" thickBot="1" x14ac:dyDescent="0.25">
      <c r="A84" s="26">
        <v>3</v>
      </c>
      <c r="B84" s="27" t="s">
        <v>97</v>
      </c>
      <c r="C84" s="27" t="s">
        <v>55</v>
      </c>
    </row>
    <row r="85" spans="1:3" ht="15.75" thickBot="1" x14ac:dyDescent="0.25">
      <c r="A85" s="18" t="s">
        <v>32</v>
      </c>
      <c r="B85" s="28" t="s">
        <v>98</v>
      </c>
      <c r="C85" s="20">
        <f>(C35+C45+D59+C70)*0.26%</f>
        <v>8.6576710100399978</v>
      </c>
    </row>
    <row r="86" spans="1:3" ht="15.75" thickBot="1" x14ac:dyDescent="0.25">
      <c r="A86" s="18" t="s">
        <v>34</v>
      </c>
      <c r="B86" s="28" t="s">
        <v>99</v>
      </c>
      <c r="C86" s="20">
        <f>(C35+C45)*0.02%</f>
        <v>0.31483018499999998</v>
      </c>
    </row>
    <row r="87" spans="1:3" ht="15.75" thickBot="1" x14ac:dyDescent="0.25">
      <c r="A87" s="18" t="s">
        <v>37</v>
      </c>
      <c r="B87" s="28" t="s">
        <v>100</v>
      </c>
      <c r="C87" s="20">
        <f>(C35+C45)*0.01%</f>
        <v>0.15741509249999999</v>
      </c>
    </row>
    <row r="88" spans="1:3" ht="15.75" thickBot="1" x14ac:dyDescent="0.25">
      <c r="A88" s="18" t="s">
        <v>40</v>
      </c>
      <c r="B88" s="28" t="s">
        <v>101</v>
      </c>
      <c r="C88" s="20">
        <f>(C35+C79)*1.03%</f>
        <v>34.297696693619997</v>
      </c>
    </row>
    <row r="89" spans="1:3" ht="30.75" thickBot="1" x14ac:dyDescent="0.25">
      <c r="A89" s="18" t="s">
        <v>42</v>
      </c>
      <c r="B89" s="28" t="s">
        <v>102</v>
      </c>
      <c r="C89" s="20">
        <f>(C35+C45)*0.38%</f>
        <v>5.9817735149999995</v>
      </c>
    </row>
    <row r="90" spans="1:3" ht="30.75" thickBot="1" x14ac:dyDescent="0.25">
      <c r="A90" s="18" t="s">
        <v>79</v>
      </c>
      <c r="B90" s="28" t="s">
        <v>103</v>
      </c>
      <c r="C90" s="20">
        <f>(C35+C45)*0.05%</f>
        <v>0.78707546249999993</v>
      </c>
    </row>
    <row r="91" spans="1:3" ht="16.5" thickBot="1" x14ac:dyDescent="0.25">
      <c r="A91" s="203" t="s">
        <v>63</v>
      </c>
      <c r="B91" s="204"/>
      <c r="C91" s="29">
        <f>SUM(C85:C90)</f>
        <v>50.196461958659995</v>
      </c>
    </row>
    <row r="92" spans="1:3" ht="12.75" customHeight="1" x14ac:dyDescent="0.2"/>
    <row r="93" spans="1:3" ht="12.75" customHeight="1" x14ac:dyDescent="0.2"/>
    <row r="94" spans="1:3" ht="15.75" x14ac:dyDescent="0.2">
      <c r="A94" s="198" t="s">
        <v>104</v>
      </c>
      <c r="B94" s="198"/>
      <c r="C94" s="198"/>
    </row>
    <row r="96" spans="1:3" ht="15.75" x14ac:dyDescent="0.2">
      <c r="A96" s="194" t="s">
        <v>105</v>
      </c>
      <c r="B96" s="194"/>
      <c r="C96" s="194"/>
    </row>
    <row r="97" spans="1:3" ht="16.5" thickBot="1" x14ac:dyDescent="0.25">
      <c r="A97" s="22"/>
    </row>
    <row r="98" spans="1:3" ht="16.5" thickBot="1" x14ac:dyDescent="0.25">
      <c r="A98" s="16" t="s">
        <v>106</v>
      </c>
      <c r="B98" s="17" t="s">
        <v>107</v>
      </c>
      <c r="C98" s="17" t="s">
        <v>55</v>
      </c>
    </row>
    <row r="99" spans="1:3" ht="15.75" thickBot="1" x14ac:dyDescent="0.25">
      <c r="A99" s="18" t="s">
        <v>32</v>
      </c>
      <c r="B99" s="19" t="s">
        <v>108</v>
      </c>
      <c r="C99" s="20">
        <f>(C35+C79+C91)*8.33%</f>
        <v>281.55982494897637</v>
      </c>
    </row>
    <row r="100" spans="1:3" ht="15.75" thickBot="1" x14ac:dyDescent="0.25">
      <c r="A100" s="18" t="s">
        <v>34</v>
      </c>
      <c r="B100" s="19" t="s">
        <v>109</v>
      </c>
      <c r="C100" s="20">
        <f>(C35+C79+C91)*2.22%</f>
        <v>75.037552387362254</v>
      </c>
    </row>
    <row r="101" spans="1:3" ht="15.75" thickBot="1" x14ac:dyDescent="0.25">
      <c r="A101" s="18" t="s">
        <v>37</v>
      </c>
      <c r="B101" s="19" t="s">
        <v>110</v>
      </c>
      <c r="C101" s="20">
        <f>(C35+C79+C91)*0.04%</f>
        <v>1.3520279709434642</v>
      </c>
    </row>
    <row r="102" spans="1:3" ht="15.75" thickBot="1" x14ac:dyDescent="0.25">
      <c r="A102" s="18" t="s">
        <v>40</v>
      </c>
      <c r="B102" s="19" t="s">
        <v>111</v>
      </c>
      <c r="C102" s="20">
        <f>(C35+C79+C91)*0.02%</f>
        <v>0.67601398547173208</v>
      </c>
    </row>
    <row r="103" spans="1:3" ht="15.75" thickBot="1" x14ac:dyDescent="0.25">
      <c r="A103" s="18" t="s">
        <v>42</v>
      </c>
      <c r="B103" s="19" t="s">
        <v>112</v>
      </c>
      <c r="C103" s="20">
        <f>(C35+C79+C91)*0.14%</f>
        <v>4.7320978983021247</v>
      </c>
    </row>
    <row r="104" spans="1:3" ht="15.75" thickBot="1" x14ac:dyDescent="0.25">
      <c r="A104" s="18" t="s">
        <v>79</v>
      </c>
      <c r="B104" s="19" t="s">
        <v>62</v>
      </c>
      <c r="C104" s="20"/>
    </row>
    <row r="105" spans="1:3" ht="16.5" thickBot="1" x14ac:dyDescent="0.25">
      <c r="A105" s="195" t="s">
        <v>84</v>
      </c>
      <c r="B105" s="196"/>
      <c r="C105" s="21">
        <f>SUM(C99:C104)</f>
        <v>363.35751719105599</v>
      </c>
    </row>
    <row r="106" spans="1:3" ht="12.75" customHeight="1" x14ac:dyDescent="0.2"/>
    <row r="107" spans="1:3" ht="12.75" customHeight="1" x14ac:dyDescent="0.2"/>
    <row r="108" spans="1:3" ht="15.75" x14ac:dyDescent="0.2">
      <c r="A108" s="194" t="s">
        <v>113</v>
      </c>
      <c r="B108" s="194"/>
      <c r="C108" s="194"/>
    </row>
    <row r="109" spans="1:3" ht="16.5" thickBot="1" x14ac:dyDescent="0.25">
      <c r="A109" s="22"/>
    </row>
    <row r="110" spans="1:3" ht="16.5" thickBot="1" x14ac:dyDescent="0.25">
      <c r="A110" s="16" t="s">
        <v>114</v>
      </c>
      <c r="B110" s="17" t="s">
        <v>115</v>
      </c>
      <c r="C110" s="17" t="s">
        <v>55</v>
      </c>
    </row>
    <row r="111" spans="1:3" ht="15.75" thickBot="1" x14ac:dyDescent="0.25">
      <c r="A111" s="18" t="s">
        <v>32</v>
      </c>
      <c r="B111" s="19" t="s">
        <v>116</v>
      </c>
      <c r="C111" s="20"/>
    </row>
    <row r="112" spans="1:3" ht="16.5" thickBot="1" x14ac:dyDescent="0.25">
      <c r="A112" s="195" t="s">
        <v>63</v>
      </c>
      <c r="B112" s="196"/>
      <c r="C112" s="21"/>
    </row>
    <row r="113" spans="1:3" ht="12.75" customHeight="1" x14ac:dyDescent="0.2"/>
    <row r="114" spans="1:3" ht="12.75" customHeight="1" x14ac:dyDescent="0.2"/>
    <row r="115" spans="1:3" ht="15.75" x14ac:dyDescent="0.2">
      <c r="A115" s="194" t="s">
        <v>117</v>
      </c>
      <c r="B115" s="194"/>
      <c r="C115" s="194"/>
    </row>
    <row r="116" spans="1:3" ht="16.5" thickBot="1" x14ac:dyDescent="0.25">
      <c r="A116" s="22"/>
    </row>
    <row r="117" spans="1:3" ht="16.5" thickBot="1" x14ac:dyDescent="0.25">
      <c r="A117" s="16">
        <v>4</v>
      </c>
      <c r="B117" s="17" t="s">
        <v>118</v>
      </c>
      <c r="C117" s="17" t="s">
        <v>55</v>
      </c>
    </row>
    <row r="118" spans="1:3" ht="15.75" thickBot="1" x14ac:dyDescent="0.25">
      <c r="A118" s="18" t="s">
        <v>106</v>
      </c>
      <c r="B118" s="19" t="s">
        <v>107</v>
      </c>
      <c r="C118" s="20">
        <f>C105</f>
        <v>363.35751719105599</v>
      </c>
    </row>
    <row r="119" spans="1:3" ht="15.75" thickBot="1" x14ac:dyDescent="0.25">
      <c r="A119" s="18" t="s">
        <v>114</v>
      </c>
      <c r="B119" s="19" t="s">
        <v>115</v>
      </c>
      <c r="C119" s="20"/>
    </row>
    <row r="120" spans="1:3" ht="16.5" thickBot="1" x14ac:dyDescent="0.25">
      <c r="A120" s="195" t="s">
        <v>63</v>
      </c>
      <c r="B120" s="196"/>
      <c r="C120" s="21">
        <f>SUM(C118:C119)</f>
        <v>363.35751719105599</v>
      </c>
    </row>
    <row r="121" spans="1:3" ht="12.75" customHeight="1" x14ac:dyDescent="0.2"/>
    <row r="122" spans="1:3" ht="12.75" customHeight="1" x14ac:dyDescent="0.2"/>
    <row r="123" spans="1:3" ht="15.75" x14ac:dyDescent="0.2">
      <c r="A123" s="198" t="s">
        <v>119</v>
      </c>
      <c r="B123" s="198"/>
      <c r="C123" s="198"/>
    </row>
    <row r="124" spans="1:3" ht="15.75" thickBot="1" x14ac:dyDescent="0.25"/>
    <row r="125" spans="1:3" ht="16.5" thickBot="1" x14ac:dyDescent="0.25">
      <c r="A125" s="46">
        <v>5</v>
      </c>
      <c r="B125" s="47" t="s">
        <v>120</v>
      </c>
      <c r="C125" s="48" t="s">
        <v>55</v>
      </c>
    </row>
    <row r="126" spans="1:3" ht="15.75" thickBot="1" x14ac:dyDescent="0.25">
      <c r="A126" s="18" t="s">
        <v>32</v>
      </c>
      <c r="B126" s="19" t="s">
        <v>121</v>
      </c>
      <c r="C126" s="20">
        <f>Uniformes!E22</f>
        <v>19.701833333333337</v>
      </c>
    </row>
    <row r="127" spans="1:3" ht="15.75" thickBot="1" x14ac:dyDescent="0.25">
      <c r="A127" s="18" t="s">
        <v>34</v>
      </c>
      <c r="B127" s="19" t="s">
        <v>122</v>
      </c>
      <c r="C127" s="20">
        <f>'Materiais de Consumo'!G300</f>
        <v>343.74177777777777</v>
      </c>
    </row>
    <row r="128" spans="1:3" ht="15.75" thickBot="1" x14ac:dyDescent="0.25">
      <c r="A128" s="18" t="s">
        <v>37</v>
      </c>
      <c r="B128" s="19" t="s">
        <v>123</v>
      </c>
      <c r="C128" s="20">
        <f>Equipamentos!F49</f>
        <v>8.2339361111111131</v>
      </c>
    </row>
    <row r="129" spans="1:4" ht="15.75" thickBot="1" x14ac:dyDescent="0.25">
      <c r="A129" s="18" t="s">
        <v>40</v>
      </c>
      <c r="B129" s="19" t="s">
        <v>62</v>
      </c>
      <c r="C129" s="20"/>
    </row>
    <row r="130" spans="1:4" ht="16.5" thickBot="1" x14ac:dyDescent="0.25">
      <c r="A130" s="201" t="s">
        <v>84</v>
      </c>
      <c r="B130" s="202"/>
      <c r="C130" s="54">
        <f>SUM(C126:C129)</f>
        <v>371.67754722222224</v>
      </c>
    </row>
    <row r="131" spans="1:4" ht="12.75" customHeight="1" x14ac:dyDescent="0.2"/>
    <row r="132" spans="1:4" ht="12.75" customHeight="1" x14ac:dyDescent="0.2"/>
    <row r="133" spans="1:4" ht="15.75" x14ac:dyDescent="0.2">
      <c r="A133" s="198" t="s">
        <v>124</v>
      </c>
      <c r="B133" s="198"/>
      <c r="C133" s="198"/>
    </row>
    <row r="134" spans="1:4" ht="15.75" thickBot="1" x14ac:dyDescent="0.25"/>
    <row r="135" spans="1:4" ht="16.5" thickBot="1" x14ac:dyDescent="0.25">
      <c r="A135" s="16">
        <v>6</v>
      </c>
      <c r="B135" s="30" t="s">
        <v>125</v>
      </c>
      <c r="C135" s="17" t="s">
        <v>126</v>
      </c>
      <c r="D135" s="17" t="s">
        <v>55</v>
      </c>
    </row>
    <row r="136" spans="1:4" ht="15.75" thickBot="1" x14ac:dyDescent="0.25">
      <c r="A136" s="18" t="s">
        <v>32</v>
      </c>
      <c r="B136" s="19" t="s">
        <v>127</v>
      </c>
      <c r="C136" s="23">
        <v>4.7300000000000002E-2</v>
      </c>
      <c r="D136" s="20">
        <f>(C35+C79+C91+C120+C130)*C136</f>
        <v>194.64446611081269</v>
      </c>
    </row>
    <row r="137" spans="1:4" ht="15.75" thickBot="1" x14ac:dyDescent="0.25">
      <c r="A137" s="18" t="s">
        <v>34</v>
      </c>
      <c r="B137" s="19" t="s">
        <v>128</v>
      </c>
      <c r="C137" s="23">
        <v>3.9E-2</v>
      </c>
      <c r="D137" s="20">
        <f>(C35+C79+C91+C120+C130+D136)*C137</f>
        <v>168.08022885742727</v>
      </c>
    </row>
    <row r="138" spans="1:4" ht="15.75" thickBot="1" x14ac:dyDescent="0.25">
      <c r="A138" s="18" t="s">
        <v>37</v>
      </c>
      <c r="B138" s="19" t="s">
        <v>129</v>
      </c>
      <c r="C138" s="23">
        <f>SUM(C139:C141)</f>
        <v>8.6499999999999994E-2</v>
      </c>
      <c r="D138" s="20">
        <f>(C35+C79+C91+C120+C130+D136+D137)/(1-C138)*C138</f>
        <v>424.00905079696258</v>
      </c>
    </row>
    <row r="139" spans="1:4" ht="15.75" thickBot="1" x14ac:dyDescent="0.25">
      <c r="A139" s="18"/>
      <c r="B139" s="19" t="s">
        <v>130</v>
      </c>
      <c r="C139" s="23">
        <v>3.6499999999999998E-2</v>
      </c>
      <c r="D139" s="20"/>
    </row>
    <row r="140" spans="1:4" ht="15.75" thickBot="1" x14ac:dyDescent="0.25">
      <c r="A140" s="18"/>
      <c r="B140" s="19" t="s">
        <v>131</v>
      </c>
      <c r="C140" s="23"/>
      <c r="D140" s="20"/>
    </row>
    <row r="141" spans="1:4" ht="15.75" thickBot="1" x14ac:dyDescent="0.25">
      <c r="A141" s="18"/>
      <c r="B141" s="19" t="s">
        <v>132</v>
      </c>
      <c r="C141" s="23">
        <v>0.05</v>
      </c>
      <c r="D141" s="20"/>
    </row>
    <row r="142" spans="1:4" ht="16.5" thickBot="1" x14ac:dyDescent="0.25">
      <c r="A142" s="195" t="s">
        <v>84</v>
      </c>
      <c r="B142" s="196"/>
      <c r="C142" s="24">
        <f>SUM(C136:C138)</f>
        <v>0.17280000000000001</v>
      </c>
      <c r="D142" s="21">
        <f>SUM(D136:D138)</f>
        <v>786.73374576520257</v>
      </c>
    </row>
    <row r="143" spans="1:4" ht="12.75" customHeight="1" x14ac:dyDescent="0.2"/>
    <row r="144" spans="1:4" ht="12.75" customHeight="1" x14ac:dyDescent="0.2"/>
    <row r="145" spans="1:3" ht="15.75" x14ac:dyDescent="0.2">
      <c r="A145" s="198" t="s">
        <v>133</v>
      </c>
      <c r="B145" s="198"/>
      <c r="C145" s="198"/>
    </row>
    <row r="146" spans="1:3" ht="15.75" thickBot="1" x14ac:dyDescent="0.25"/>
    <row r="147" spans="1:3" ht="32.25" thickBot="1" x14ac:dyDescent="0.25">
      <c r="A147" s="16"/>
      <c r="B147" s="17" t="s">
        <v>134</v>
      </c>
      <c r="C147" s="17" t="s">
        <v>55</v>
      </c>
    </row>
    <row r="148" spans="1:3" ht="16.5" thickBot="1" x14ac:dyDescent="0.25">
      <c r="A148" s="31" t="s">
        <v>32</v>
      </c>
      <c r="B148" s="19" t="s">
        <v>53</v>
      </c>
      <c r="C148" s="32">
        <f>C35</f>
        <v>1416.75</v>
      </c>
    </row>
    <row r="149" spans="1:3" ht="16.5" thickBot="1" x14ac:dyDescent="0.25">
      <c r="A149" s="31" t="s">
        <v>34</v>
      </c>
      <c r="B149" s="19" t="s">
        <v>64</v>
      </c>
      <c r="C149" s="32">
        <f>C79</f>
        <v>1913.1234654</v>
      </c>
    </row>
    <row r="150" spans="1:3" ht="16.5" thickBot="1" x14ac:dyDescent="0.25">
      <c r="A150" s="31" t="s">
        <v>37</v>
      </c>
      <c r="B150" s="19" t="s">
        <v>96</v>
      </c>
      <c r="C150" s="32">
        <f>C91</f>
        <v>50.196461958659995</v>
      </c>
    </row>
    <row r="151" spans="1:3" ht="16.5" thickBot="1" x14ac:dyDescent="0.25">
      <c r="A151" s="31" t="s">
        <v>40</v>
      </c>
      <c r="B151" s="19" t="s">
        <v>104</v>
      </c>
      <c r="C151" s="32">
        <f>C120</f>
        <v>363.35751719105599</v>
      </c>
    </row>
    <row r="152" spans="1:3" ht="16.5" thickBot="1" x14ac:dyDescent="0.25">
      <c r="A152" s="31" t="s">
        <v>42</v>
      </c>
      <c r="B152" s="19" t="s">
        <v>119</v>
      </c>
      <c r="C152" s="32">
        <f>C130</f>
        <v>371.67754722222224</v>
      </c>
    </row>
    <row r="153" spans="1:3" ht="16.5" thickBot="1" x14ac:dyDescent="0.25">
      <c r="A153" s="195" t="s">
        <v>135</v>
      </c>
      <c r="B153" s="196"/>
      <c r="C153" s="33">
        <f>SUM(C148:C152)</f>
        <v>4115.1049917719383</v>
      </c>
    </row>
    <row r="154" spans="1:3" ht="16.5" thickBot="1" x14ac:dyDescent="0.25">
      <c r="A154" s="31" t="s">
        <v>79</v>
      </c>
      <c r="B154" s="19" t="s">
        <v>136</v>
      </c>
      <c r="C154" s="32">
        <f>D142</f>
        <v>786.73374576520257</v>
      </c>
    </row>
    <row r="155" spans="1:3" ht="16.5" thickBot="1" x14ac:dyDescent="0.25">
      <c r="A155" s="195" t="s">
        <v>137</v>
      </c>
      <c r="B155" s="196"/>
      <c r="C155" s="127">
        <f>SUM(C153:C154)</f>
        <v>4901.8387375371412</v>
      </c>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5" fitToHeight="0" orientation="portrait" horizontalDpi="300" verticalDpi="300" r:id="rId1"/>
  <headerFooter>
    <oddHeader>&amp;C&amp;"Arial,Negrito"&amp;14&amp;UPLANILHA DE CUSTO - SERVENTE DE SEGUNDA À SEXTA-FEIRA - ITEM 3</oddHeader>
  </headerFooter>
  <rowBreaks count="2" manualBreakCount="2">
    <brk id="47" max="16383" man="1"/>
    <brk id="10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55"/>
  <sheetViews>
    <sheetView showGridLines="0" zoomScaleNormal="100" workbookViewId="0">
      <selection activeCell="C30" sqref="C30"/>
    </sheetView>
  </sheetViews>
  <sheetFormatPr defaultRowHeight="15" x14ac:dyDescent="0.2"/>
  <cols>
    <col min="1" max="1" width="12.140625" style="15" customWidth="1"/>
    <col min="2" max="2" width="72.140625" style="15" customWidth="1"/>
    <col min="3" max="3" width="20.85546875" style="15" customWidth="1"/>
    <col min="4" max="4" width="20.140625" style="15" customWidth="1"/>
    <col min="5" max="5" width="12.7109375" style="15" customWidth="1"/>
    <col min="6" max="6" width="12" style="15" customWidth="1"/>
    <col min="7" max="7" width="15.140625" style="15" customWidth="1"/>
    <col min="8" max="16384" width="9.140625" style="15"/>
  </cols>
  <sheetData>
    <row r="1" spans="1:4" ht="23.25" x14ac:dyDescent="0.35">
      <c r="A1" s="200" t="s">
        <v>26</v>
      </c>
      <c r="B1" s="200"/>
      <c r="C1" s="200"/>
      <c r="D1" s="200"/>
    </row>
    <row r="2" spans="1:4" x14ac:dyDescent="0.2">
      <c r="A2" s="205" t="s">
        <v>27</v>
      </c>
      <c r="B2" s="205"/>
      <c r="C2" s="205"/>
      <c r="D2" s="205"/>
    </row>
    <row r="4" spans="1:4" ht="17.25" customHeight="1" x14ac:dyDescent="0.2">
      <c r="A4" s="34"/>
      <c r="B4" s="35" t="s">
        <v>28</v>
      </c>
      <c r="C4" s="37" t="s">
        <v>29</v>
      </c>
    </row>
    <row r="5" spans="1:4" ht="17.25" customHeight="1" x14ac:dyDescent="0.2">
      <c r="A5" s="34"/>
      <c r="B5" s="35" t="s">
        <v>30</v>
      </c>
      <c r="C5" s="36"/>
    </row>
    <row r="7" spans="1:4" ht="18" customHeight="1" x14ac:dyDescent="0.2">
      <c r="A7" s="198" t="s">
        <v>143</v>
      </c>
      <c r="B7" s="198"/>
      <c r="C7" s="198"/>
    </row>
    <row r="8" spans="1:4" ht="15" customHeight="1" x14ac:dyDescent="0.2">
      <c r="A8" s="38"/>
      <c r="B8" s="38"/>
      <c r="C8" s="38"/>
    </row>
    <row r="9" spans="1:4" ht="18" customHeight="1" x14ac:dyDescent="0.2">
      <c r="A9" s="37" t="s">
        <v>32</v>
      </c>
      <c r="B9" s="39" t="s">
        <v>150</v>
      </c>
      <c r="C9" s="37"/>
    </row>
    <row r="10" spans="1:4" ht="18" customHeight="1" x14ac:dyDescent="0.2">
      <c r="A10" s="37" t="s">
        <v>34</v>
      </c>
      <c r="B10" s="39" t="s">
        <v>35</v>
      </c>
      <c r="C10" s="37" t="s">
        <v>36</v>
      </c>
    </row>
    <row r="11" spans="1:4" ht="30" x14ac:dyDescent="0.2">
      <c r="A11" s="37" t="s">
        <v>37</v>
      </c>
      <c r="B11" s="39" t="s">
        <v>38</v>
      </c>
      <c r="C11" s="43" t="s">
        <v>39</v>
      </c>
    </row>
    <row r="12" spans="1:4" ht="18" customHeight="1" x14ac:dyDescent="0.2">
      <c r="A12" s="37" t="s">
        <v>40</v>
      </c>
      <c r="B12" s="39" t="s">
        <v>41</v>
      </c>
      <c r="C12" s="37">
        <v>30</v>
      </c>
    </row>
    <row r="13" spans="1:4" ht="30" x14ac:dyDescent="0.2">
      <c r="A13" s="37" t="s">
        <v>42</v>
      </c>
      <c r="B13" s="122" t="s">
        <v>151</v>
      </c>
      <c r="C13" s="105">
        <f>'QTD SERVENTE - ITEM 3'!I24</f>
        <v>25</v>
      </c>
    </row>
    <row r="14" spans="1:4" ht="12.75" customHeight="1" x14ac:dyDescent="0.2"/>
    <row r="15" spans="1:4" ht="12.75" customHeight="1" x14ac:dyDescent="0.2">
      <c r="A15" s="45"/>
      <c r="B15" s="45"/>
    </row>
    <row r="16" spans="1:4" ht="17.25" customHeight="1" x14ac:dyDescent="0.2">
      <c r="A16" s="198" t="s">
        <v>44</v>
      </c>
      <c r="B16" s="198"/>
      <c r="C16" s="198"/>
    </row>
    <row r="17" spans="1:3" ht="12.75" customHeight="1" x14ac:dyDescent="0.2"/>
    <row r="18" spans="1:3" ht="15.75" x14ac:dyDescent="0.25">
      <c r="A18" s="199" t="s">
        <v>45</v>
      </c>
      <c r="B18" s="199"/>
      <c r="C18" s="199"/>
    </row>
    <row r="19" spans="1:3" ht="15" customHeight="1" x14ac:dyDescent="0.25">
      <c r="A19" s="40"/>
      <c r="B19" s="40"/>
      <c r="C19" s="40"/>
    </row>
    <row r="20" spans="1:3" ht="30" x14ac:dyDescent="0.2">
      <c r="A20" s="41">
        <v>1</v>
      </c>
      <c r="B20" s="42" t="s">
        <v>46</v>
      </c>
      <c r="C20" s="43" t="s">
        <v>47</v>
      </c>
    </row>
    <row r="21" spans="1:3" ht="18" customHeight="1" x14ac:dyDescent="0.2">
      <c r="A21" s="41">
        <v>2</v>
      </c>
      <c r="B21" s="42" t="s">
        <v>48</v>
      </c>
      <c r="C21" s="37" t="s">
        <v>49</v>
      </c>
    </row>
    <row r="22" spans="1:3" ht="30" x14ac:dyDescent="0.2">
      <c r="A22" s="41">
        <v>3</v>
      </c>
      <c r="B22" s="42" t="s">
        <v>50</v>
      </c>
      <c r="C22" s="43" t="s">
        <v>145</v>
      </c>
    </row>
    <row r="23" spans="1:3" ht="17.25" customHeight="1" x14ac:dyDescent="0.2">
      <c r="A23" s="37">
        <v>4</v>
      </c>
      <c r="B23" s="42" t="s">
        <v>52</v>
      </c>
      <c r="C23" s="44">
        <v>44562</v>
      </c>
    </row>
    <row r="25" spans="1:3" ht="15.75" x14ac:dyDescent="0.2">
      <c r="A25" s="198" t="s">
        <v>53</v>
      </c>
      <c r="B25" s="198"/>
      <c r="C25" s="198"/>
    </row>
    <row r="26" spans="1:3" ht="15.75" thickBot="1" x14ac:dyDescent="0.25"/>
    <row r="27" spans="1:3" ht="16.5" thickBot="1" x14ac:dyDescent="0.25">
      <c r="A27" s="16">
        <v>1</v>
      </c>
      <c r="B27" s="17" t="s">
        <v>54</v>
      </c>
      <c r="C27" s="17" t="s">
        <v>55</v>
      </c>
    </row>
    <row r="28" spans="1:3" ht="15.75" thickBot="1" x14ac:dyDescent="0.25">
      <c r="A28" s="18" t="s">
        <v>32</v>
      </c>
      <c r="B28" s="19" t="s">
        <v>56</v>
      </c>
      <c r="C28" s="20">
        <v>1416.75</v>
      </c>
    </row>
    <row r="29" spans="1:3" ht="15.75" thickBot="1" x14ac:dyDescent="0.25">
      <c r="A29" s="18" t="s">
        <v>34</v>
      </c>
      <c r="B29" s="19" t="s">
        <v>57</v>
      </c>
      <c r="C29" s="20"/>
    </row>
    <row r="30" spans="1:3" ht="15.75" thickBot="1" x14ac:dyDescent="0.25">
      <c r="A30" s="18" t="s">
        <v>37</v>
      </c>
      <c r="B30" s="19" t="s">
        <v>58</v>
      </c>
      <c r="C30" s="20">
        <f>C28*20%</f>
        <v>283.35000000000002</v>
      </c>
    </row>
    <row r="31" spans="1:3" ht="15.75" thickBot="1" x14ac:dyDescent="0.25">
      <c r="A31" s="18" t="s">
        <v>40</v>
      </c>
      <c r="B31" s="19" t="s">
        <v>59</v>
      </c>
      <c r="C31" s="20"/>
    </row>
    <row r="32" spans="1:3" ht="15.75" thickBot="1" x14ac:dyDescent="0.25">
      <c r="A32" s="18" t="s">
        <v>42</v>
      </c>
      <c r="B32" s="19" t="s">
        <v>60</v>
      </c>
      <c r="C32" s="20"/>
    </row>
    <row r="33" spans="1:4" ht="15.75" thickBot="1" x14ac:dyDescent="0.25">
      <c r="A33" s="18"/>
      <c r="B33" s="19"/>
      <c r="C33" s="20"/>
    </row>
    <row r="34" spans="1:4" ht="15.75" thickBot="1" x14ac:dyDescent="0.25">
      <c r="A34" s="18" t="s">
        <v>61</v>
      </c>
      <c r="B34" s="19" t="s">
        <v>62</v>
      </c>
      <c r="C34" s="20"/>
    </row>
    <row r="35" spans="1:4" ht="16.5" thickBot="1" x14ac:dyDescent="0.25">
      <c r="A35" s="195" t="s">
        <v>63</v>
      </c>
      <c r="B35" s="196"/>
      <c r="C35" s="21">
        <f>SUM(C28:C34)</f>
        <v>1700.1</v>
      </c>
    </row>
    <row r="36" spans="1:4" ht="12.75" customHeight="1" x14ac:dyDescent="0.2"/>
    <row r="37" spans="1:4" ht="12.75" customHeight="1" x14ac:dyDescent="0.2"/>
    <row r="38" spans="1:4" ht="15.75" x14ac:dyDescent="0.2">
      <c r="A38" s="198" t="s">
        <v>64</v>
      </c>
      <c r="B38" s="198"/>
      <c r="C38" s="198"/>
    </row>
    <row r="39" spans="1:4" ht="15.75" x14ac:dyDescent="0.2">
      <c r="A39" s="22"/>
    </row>
    <row r="40" spans="1:4" ht="15.75" x14ac:dyDescent="0.2">
      <c r="A40" s="194" t="s">
        <v>65</v>
      </c>
      <c r="B40" s="194"/>
      <c r="C40" s="194"/>
    </row>
    <row r="41" spans="1:4" ht="15.75" thickBot="1" x14ac:dyDescent="0.25"/>
    <row r="42" spans="1:4" ht="16.5" thickBot="1" x14ac:dyDescent="0.25">
      <c r="A42" s="16" t="s">
        <v>66</v>
      </c>
      <c r="B42" s="17" t="s">
        <v>67</v>
      </c>
      <c r="C42" s="17" t="s">
        <v>55</v>
      </c>
    </row>
    <row r="43" spans="1:4" ht="15.75" thickBot="1" x14ac:dyDescent="0.25">
      <c r="A43" s="18" t="s">
        <v>32</v>
      </c>
      <c r="B43" s="19" t="s">
        <v>68</v>
      </c>
      <c r="C43" s="20">
        <f>C35*8.33%</f>
        <v>141.61832999999999</v>
      </c>
    </row>
    <row r="44" spans="1:4" ht="15.75" thickBot="1" x14ac:dyDescent="0.25">
      <c r="A44" s="18" t="s">
        <v>34</v>
      </c>
      <c r="B44" s="19" t="s">
        <v>69</v>
      </c>
      <c r="C44" s="20">
        <f>C35*2.78%</f>
        <v>47.262779999999992</v>
      </c>
    </row>
    <row r="45" spans="1:4" ht="16.5" thickBot="1" x14ac:dyDescent="0.25">
      <c r="A45" s="195" t="s">
        <v>63</v>
      </c>
      <c r="B45" s="196"/>
      <c r="C45" s="21">
        <f>SUM(C43:C44)</f>
        <v>188.88110999999998</v>
      </c>
    </row>
    <row r="46" spans="1:4" ht="12.75" customHeight="1" x14ac:dyDescent="0.2"/>
    <row r="47" spans="1:4" ht="12.75" customHeight="1" x14ac:dyDescent="0.2"/>
    <row r="48" spans="1:4" ht="32.25" customHeight="1" x14ac:dyDescent="0.2">
      <c r="A48" s="197" t="s">
        <v>70</v>
      </c>
      <c r="B48" s="197"/>
      <c r="C48" s="197"/>
      <c r="D48" s="197"/>
    </row>
    <row r="49" spans="1:4" ht="15.75" thickBot="1" x14ac:dyDescent="0.25"/>
    <row r="50" spans="1:4" ht="16.5" thickBot="1" x14ac:dyDescent="0.25">
      <c r="A50" s="16" t="s">
        <v>71</v>
      </c>
      <c r="B50" s="17" t="s">
        <v>72</v>
      </c>
      <c r="C50" s="17" t="s">
        <v>73</v>
      </c>
      <c r="D50" s="17" t="s">
        <v>55</v>
      </c>
    </row>
    <row r="51" spans="1:4" ht="15.75" thickBot="1" x14ac:dyDescent="0.25">
      <c r="A51" s="18" t="s">
        <v>32</v>
      </c>
      <c r="B51" s="19" t="s">
        <v>74</v>
      </c>
      <c r="C51" s="23">
        <v>0.2</v>
      </c>
      <c r="D51" s="20">
        <f t="shared" ref="D51:D58" si="0">($C$35+$C$45)*C51</f>
        <v>377.796222</v>
      </c>
    </row>
    <row r="52" spans="1:4" ht="15.75" thickBot="1" x14ac:dyDescent="0.25">
      <c r="A52" s="18" t="s">
        <v>34</v>
      </c>
      <c r="B52" s="19" t="s">
        <v>75</v>
      </c>
      <c r="C52" s="23">
        <v>2.5000000000000001E-2</v>
      </c>
      <c r="D52" s="20">
        <f t="shared" si="0"/>
        <v>47.22452775</v>
      </c>
    </row>
    <row r="53" spans="1:4" ht="15.75" thickBot="1" x14ac:dyDescent="0.25">
      <c r="A53" s="18" t="s">
        <v>37</v>
      </c>
      <c r="B53" s="19" t="s">
        <v>76</v>
      </c>
      <c r="C53" s="23">
        <v>0.03</v>
      </c>
      <c r="D53" s="20">
        <f t="shared" si="0"/>
        <v>56.669433299999994</v>
      </c>
    </row>
    <row r="54" spans="1:4" ht="15.75" thickBot="1" x14ac:dyDescent="0.25">
      <c r="A54" s="18" t="s">
        <v>40</v>
      </c>
      <c r="B54" s="19" t="s">
        <v>77</v>
      </c>
      <c r="C54" s="23">
        <v>1.4999999999999999E-2</v>
      </c>
      <c r="D54" s="20">
        <f t="shared" si="0"/>
        <v>28.334716649999997</v>
      </c>
    </row>
    <row r="55" spans="1:4" ht="15.75" thickBot="1" x14ac:dyDescent="0.25">
      <c r="A55" s="18" t="s">
        <v>42</v>
      </c>
      <c r="B55" s="19" t="s">
        <v>78</v>
      </c>
      <c r="C55" s="23">
        <v>0.01</v>
      </c>
      <c r="D55" s="20">
        <f t="shared" si="0"/>
        <v>18.889811099999999</v>
      </c>
    </row>
    <row r="56" spans="1:4" ht="15.75" thickBot="1" x14ac:dyDescent="0.25">
      <c r="A56" s="18" t="s">
        <v>79</v>
      </c>
      <c r="B56" s="19" t="s">
        <v>80</v>
      </c>
      <c r="C56" s="23">
        <v>6.0000000000000001E-3</v>
      </c>
      <c r="D56" s="20">
        <f t="shared" si="0"/>
        <v>11.333886659999999</v>
      </c>
    </row>
    <row r="57" spans="1:4" ht="15.75" thickBot="1" x14ac:dyDescent="0.25">
      <c r="A57" s="18" t="s">
        <v>61</v>
      </c>
      <c r="B57" s="19" t="s">
        <v>81</v>
      </c>
      <c r="C57" s="23">
        <v>2E-3</v>
      </c>
      <c r="D57" s="20">
        <f t="shared" si="0"/>
        <v>3.77796222</v>
      </c>
    </row>
    <row r="58" spans="1:4" ht="15.75" thickBot="1" x14ac:dyDescent="0.25">
      <c r="A58" s="18" t="s">
        <v>82</v>
      </c>
      <c r="B58" s="19" t="s">
        <v>83</v>
      </c>
      <c r="C58" s="23">
        <v>0.08</v>
      </c>
      <c r="D58" s="20">
        <f t="shared" si="0"/>
        <v>151.11848879999999</v>
      </c>
    </row>
    <row r="59" spans="1:4" ht="16.5" thickBot="1" x14ac:dyDescent="0.25">
      <c r="A59" s="195" t="s">
        <v>84</v>
      </c>
      <c r="B59" s="196"/>
      <c r="C59" s="24">
        <f>SUM(C51:C58)</f>
        <v>0.36800000000000005</v>
      </c>
      <c r="D59" s="21">
        <f>SUM(D51:D58)</f>
        <v>695.1450484799999</v>
      </c>
    </row>
    <row r="60" spans="1:4" ht="12.75" customHeight="1" x14ac:dyDescent="0.2"/>
    <row r="61" spans="1:4" ht="12.75" customHeight="1" x14ac:dyDescent="0.2"/>
    <row r="62" spans="1:4" ht="15.75" x14ac:dyDescent="0.2">
      <c r="A62" s="194" t="s">
        <v>85</v>
      </c>
      <c r="B62" s="194"/>
      <c r="C62" s="194"/>
    </row>
    <row r="63" spans="1:4" ht="15.75" thickBot="1" x14ac:dyDescent="0.25"/>
    <row r="64" spans="1:4" ht="16.5" thickBot="1" x14ac:dyDescent="0.25">
      <c r="A64" s="16" t="s">
        <v>86</v>
      </c>
      <c r="B64" s="17" t="s">
        <v>87</v>
      </c>
      <c r="C64" s="17" t="s">
        <v>55</v>
      </c>
    </row>
    <row r="65" spans="1:4" ht="15.75" thickBot="1" x14ac:dyDescent="0.25">
      <c r="A65" s="18" t="s">
        <v>32</v>
      </c>
      <c r="B65" s="19" t="s">
        <v>88</v>
      </c>
      <c r="C65" s="20">
        <f>('CÁLCULO TRANSPORTE-ALIMENTAÇÃO'!B38*'Custo Serv SEG-SEX INS - ITEM 3'!D65)-(C28*6%)</f>
        <v>156.995</v>
      </c>
      <c r="D65" s="106">
        <f>5.5*2</f>
        <v>11</v>
      </c>
    </row>
    <row r="66" spans="1:4" ht="15.75" thickBot="1" x14ac:dyDescent="0.25">
      <c r="A66" s="18" t="s">
        <v>34</v>
      </c>
      <c r="B66" s="19" t="s">
        <v>89</v>
      </c>
      <c r="C66" s="20">
        <f>D66*'CÁLCULO TRANSPORTE-ALIMENTAÇÃO'!B38</f>
        <v>836</v>
      </c>
      <c r="D66" s="106">
        <v>38</v>
      </c>
    </row>
    <row r="67" spans="1:4" ht="15.75" thickBot="1" x14ac:dyDescent="0.25">
      <c r="A67" s="18" t="s">
        <v>37</v>
      </c>
      <c r="B67" s="19" t="s">
        <v>90</v>
      </c>
      <c r="C67" s="20">
        <v>169.67</v>
      </c>
    </row>
    <row r="68" spans="1:4" ht="15.75" thickBot="1" x14ac:dyDescent="0.25">
      <c r="A68" s="18" t="s">
        <v>40</v>
      </c>
      <c r="B68" s="19" t="s">
        <v>91</v>
      </c>
      <c r="C68" s="20">
        <v>11.27</v>
      </c>
    </row>
    <row r="69" spans="1:4" ht="15.75" thickBot="1" x14ac:dyDescent="0.25">
      <c r="A69" s="18" t="s">
        <v>42</v>
      </c>
      <c r="B69" s="19" t="s">
        <v>92</v>
      </c>
      <c r="C69" s="20">
        <v>2.5</v>
      </c>
    </row>
    <row r="70" spans="1:4" ht="16.5" thickBot="1" x14ac:dyDescent="0.25">
      <c r="A70" s="195" t="s">
        <v>63</v>
      </c>
      <c r="B70" s="196"/>
      <c r="C70" s="21">
        <f>SUM(C65:C69)</f>
        <v>1176.4349999999999</v>
      </c>
    </row>
    <row r="71" spans="1:4" ht="12.75" customHeight="1" x14ac:dyDescent="0.2"/>
    <row r="72" spans="1:4" ht="12.75" customHeight="1" x14ac:dyDescent="0.2"/>
    <row r="73" spans="1:4" ht="15.75" x14ac:dyDescent="0.2">
      <c r="A73" s="194" t="s">
        <v>93</v>
      </c>
      <c r="B73" s="194"/>
      <c r="C73" s="194"/>
    </row>
    <row r="74" spans="1:4" ht="15.75" thickBot="1" x14ac:dyDescent="0.25"/>
    <row r="75" spans="1:4" ht="16.5" thickBot="1" x14ac:dyDescent="0.25">
      <c r="A75" s="16">
        <v>2</v>
      </c>
      <c r="B75" s="17" t="s">
        <v>94</v>
      </c>
      <c r="C75" s="17" t="s">
        <v>55</v>
      </c>
    </row>
    <row r="76" spans="1:4" ht="15.75" thickBot="1" x14ac:dyDescent="0.25">
      <c r="A76" s="18" t="s">
        <v>66</v>
      </c>
      <c r="B76" s="19" t="s">
        <v>95</v>
      </c>
      <c r="C76" s="20">
        <f>C45</f>
        <v>188.88110999999998</v>
      </c>
    </row>
    <row r="77" spans="1:4" ht="15.75" thickBot="1" x14ac:dyDescent="0.25">
      <c r="A77" s="18" t="s">
        <v>71</v>
      </c>
      <c r="B77" s="19" t="s">
        <v>72</v>
      </c>
      <c r="C77" s="20">
        <f>D59</f>
        <v>695.1450484799999</v>
      </c>
    </row>
    <row r="78" spans="1:4" ht="15.75" thickBot="1" x14ac:dyDescent="0.25">
      <c r="A78" s="18" t="s">
        <v>86</v>
      </c>
      <c r="B78" s="19" t="s">
        <v>87</v>
      </c>
      <c r="C78" s="20">
        <f>C70</f>
        <v>1176.4349999999999</v>
      </c>
    </row>
    <row r="79" spans="1:4" ht="16.5" thickBot="1" x14ac:dyDescent="0.25">
      <c r="A79" s="195" t="s">
        <v>63</v>
      </c>
      <c r="B79" s="196"/>
      <c r="C79" s="21">
        <f>SUM(C76:C78)</f>
        <v>2060.4611584799995</v>
      </c>
    </row>
    <row r="80" spans="1:4" ht="12.75" customHeight="1" x14ac:dyDescent="0.2">
      <c r="A80" s="25"/>
    </row>
    <row r="81" spans="1:3" ht="12.75" customHeight="1" x14ac:dyDescent="0.2"/>
    <row r="82" spans="1:3" ht="15.75" x14ac:dyDescent="0.2">
      <c r="A82" s="198" t="s">
        <v>96</v>
      </c>
      <c r="B82" s="198"/>
      <c r="C82" s="198"/>
    </row>
    <row r="83" spans="1:3" ht="15.75" thickBot="1" x14ac:dyDescent="0.25"/>
    <row r="84" spans="1:3" ht="16.5" thickBot="1" x14ac:dyDescent="0.25">
      <c r="A84" s="26">
        <v>3</v>
      </c>
      <c r="B84" s="27" t="s">
        <v>97</v>
      </c>
      <c r="C84" s="27" t="s">
        <v>55</v>
      </c>
    </row>
    <row r="85" spans="1:3" ht="15.75" thickBot="1" x14ac:dyDescent="0.25">
      <c r="A85" s="18" t="s">
        <v>32</v>
      </c>
      <c r="B85" s="28" t="s">
        <v>98</v>
      </c>
      <c r="C85" s="20">
        <f>(C35+C45+D59+C70)*0.26%</f>
        <v>9.7774590120479985</v>
      </c>
    </row>
    <row r="86" spans="1:3" ht="15.75" thickBot="1" x14ac:dyDescent="0.25">
      <c r="A86" s="18" t="s">
        <v>34</v>
      </c>
      <c r="B86" s="28" t="s">
        <v>99</v>
      </c>
      <c r="C86" s="20">
        <f>(C35+C45)*0.02%</f>
        <v>0.37779622200000001</v>
      </c>
    </row>
    <row r="87" spans="1:3" ht="15.75" thickBot="1" x14ac:dyDescent="0.25">
      <c r="A87" s="18" t="s">
        <v>37</v>
      </c>
      <c r="B87" s="28" t="s">
        <v>100</v>
      </c>
      <c r="C87" s="20">
        <f>(C35+C45)*0.01%</f>
        <v>0.18889811100000001</v>
      </c>
    </row>
    <row r="88" spans="1:3" ht="15.75" thickBot="1" x14ac:dyDescent="0.25">
      <c r="A88" s="18" t="s">
        <v>40</v>
      </c>
      <c r="B88" s="28" t="s">
        <v>101</v>
      </c>
      <c r="C88" s="20">
        <f>(C35+C79)*1.03%</f>
        <v>38.733779932343992</v>
      </c>
    </row>
    <row r="89" spans="1:3" ht="30.75" thickBot="1" x14ac:dyDescent="0.25">
      <c r="A89" s="18" t="s">
        <v>42</v>
      </c>
      <c r="B89" s="28" t="s">
        <v>102</v>
      </c>
      <c r="C89" s="20">
        <f>(C35+C45)*0.38%</f>
        <v>7.1781282179999994</v>
      </c>
    </row>
    <row r="90" spans="1:3" ht="30.75" thickBot="1" x14ac:dyDescent="0.25">
      <c r="A90" s="18" t="s">
        <v>79</v>
      </c>
      <c r="B90" s="28" t="s">
        <v>103</v>
      </c>
      <c r="C90" s="20">
        <f>(C35+C45)*0.05%</f>
        <v>0.94449055500000001</v>
      </c>
    </row>
    <row r="91" spans="1:3" ht="16.5" thickBot="1" x14ac:dyDescent="0.25">
      <c r="A91" s="203" t="s">
        <v>63</v>
      </c>
      <c r="B91" s="204"/>
      <c r="C91" s="29">
        <f>SUM(C85:C90)</f>
        <v>57.200552050391991</v>
      </c>
    </row>
    <row r="92" spans="1:3" ht="12.75" customHeight="1" x14ac:dyDescent="0.2"/>
    <row r="93" spans="1:3" ht="12.75" customHeight="1" x14ac:dyDescent="0.2"/>
    <row r="94" spans="1:3" ht="15.75" x14ac:dyDescent="0.2">
      <c r="A94" s="198" t="s">
        <v>104</v>
      </c>
      <c r="B94" s="198"/>
      <c r="C94" s="198"/>
    </row>
    <row r="96" spans="1:3" ht="15.75" x14ac:dyDescent="0.2">
      <c r="A96" s="194" t="s">
        <v>105</v>
      </c>
      <c r="B96" s="194"/>
      <c r="C96" s="194"/>
    </row>
    <row r="97" spans="1:3" ht="16.5" thickBot="1" x14ac:dyDescent="0.25">
      <c r="A97" s="22"/>
    </row>
    <row r="98" spans="1:3" ht="16.5" thickBot="1" x14ac:dyDescent="0.25">
      <c r="A98" s="16" t="s">
        <v>106</v>
      </c>
      <c r="B98" s="17" t="s">
        <v>107</v>
      </c>
      <c r="C98" s="17" t="s">
        <v>55</v>
      </c>
    </row>
    <row r="99" spans="1:3" ht="15.75" thickBot="1" x14ac:dyDescent="0.25">
      <c r="A99" s="18" t="s">
        <v>32</v>
      </c>
      <c r="B99" s="19" t="s">
        <v>108</v>
      </c>
      <c r="C99" s="20">
        <f>(C35+C79+C91)*8.33%</f>
        <v>318.01955048718162</v>
      </c>
    </row>
    <row r="100" spans="1:3" ht="15.75" thickBot="1" x14ac:dyDescent="0.25">
      <c r="A100" s="18" t="s">
        <v>34</v>
      </c>
      <c r="B100" s="19" t="s">
        <v>109</v>
      </c>
      <c r="C100" s="20">
        <f>(C35+C79+C91)*2.22%</f>
        <v>84.754309973774696</v>
      </c>
    </row>
    <row r="101" spans="1:3" ht="15.75" thickBot="1" x14ac:dyDescent="0.25">
      <c r="A101" s="18" t="s">
        <v>37</v>
      </c>
      <c r="B101" s="19" t="s">
        <v>110</v>
      </c>
      <c r="C101" s="20">
        <f>(C35+C79+C91)*0.04%</f>
        <v>1.5271046842121567</v>
      </c>
    </row>
    <row r="102" spans="1:3" ht="15.75" thickBot="1" x14ac:dyDescent="0.25">
      <c r="A102" s="18" t="s">
        <v>40</v>
      </c>
      <c r="B102" s="19" t="s">
        <v>111</v>
      </c>
      <c r="C102" s="20">
        <f>(C35+C79+C91)*0.02%</f>
        <v>0.76355234210607836</v>
      </c>
    </row>
    <row r="103" spans="1:3" ht="15.75" thickBot="1" x14ac:dyDescent="0.25">
      <c r="A103" s="18" t="s">
        <v>42</v>
      </c>
      <c r="B103" s="19" t="s">
        <v>112</v>
      </c>
      <c r="C103" s="20">
        <f>(C35+C79+C91)*0.14%</f>
        <v>5.3448663947425494</v>
      </c>
    </row>
    <row r="104" spans="1:3" ht="15.75" thickBot="1" x14ac:dyDescent="0.25">
      <c r="A104" s="18" t="s">
        <v>79</v>
      </c>
      <c r="B104" s="19" t="s">
        <v>62</v>
      </c>
      <c r="C104" s="20"/>
    </row>
    <row r="105" spans="1:3" ht="16.5" thickBot="1" x14ac:dyDescent="0.25">
      <c r="A105" s="195" t="s">
        <v>84</v>
      </c>
      <c r="B105" s="196"/>
      <c r="C105" s="21">
        <f>SUM(C99:C104)</f>
        <v>410.4093838820171</v>
      </c>
    </row>
    <row r="106" spans="1:3" ht="12.75" customHeight="1" x14ac:dyDescent="0.2"/>
    <row r="107" spans="1:3" ht="12.75" customHeight="1" x14ac:dyDescent="0.2"/>
    <row r="108" spans="1:3" ht="15.75" x14ac:dyDescent="0.2">
      <c r="A108" s="194" t="s">
        <v>113</v>
      </c>
      <c r="B108" s="194"/>
      <c r="C108" s="194"/>
    </row>
    <row r="109" spans="1:3" ht="16.5" thickBot="1" x14ac:dyDescent="0.25">
      <c r="A109" s="22"/>
    </row>
    <row r="110" spans="1:3" ht="16.5" thickBot="1" x14ac:dyDescent="0.25">
      <c r="A110" s="16" t="s">
        <v>114</v>
      </c>
      <c r="B110" s="17" t="s">
        <v>115</v>
      </c>
      <c r="C110" s="17" t="s">
        <v>55</v>
      </c>
    </row>
    <row r="111" spans="1:3" ht="15.75" thickBot="1" x14ac:dyDescent="0.25">
      <c r="A111" s="18" t="s">
        <v>32</v>
      </c>
      <c r="B111" s="19" t="s">
        <v>116</v>
      </c>
      <c r="C111" s="20"/>
    </row>
    <row r="112" spans="1:3" ht="16.5" thickBot="1" x14ac:dyDescent="0.25">
      <c r="A112" s="195" t="s">
        <v>63</v>
      </c>
      <c r="B112" s="196"/>
      <c r="C112" s="21"/>
    </row>
    <row r="113" spans="1:3" ht="12.75" customHeight="1" x14ac:dyDescent="0.2"/>
    <row r="114" spans="1:3" ht="12.75" customHeight="1" x14ac:dyDescent="0.2"/>
    <row r="115" spans="1:3" ht="15.75" x14ac:dyDescent="0.2">
      <c r="A115" s="194" t="s">
        <v>117</v>
      </c>
      <c r="B115" s="194"/>
      <c r="C115" s="194"/>
    </row>
    <row r="116" spans="1:3" ht="16.5" thickBot="1" x14ac:dyDescent="0.25">
      <c r="A116" s="22"/>
    </row>
    <row r="117" spans="1:3" ht="16.5" thickBot="1" x14ac:dyDescent="0.25">
      <c r="A117" s="16">
        <v>4</v>
      </c>
      <c r="B117" s="17" t="s">
        <v>118</v>
      </c>
      <c r="C117" s="17" t="s">
        <v>55</v>
      </c>
    </row>
    <row r="118" spans="1:3" ht="15.75" thickBot="1" x14ac:dyDescent="0.25">
      <c r="A118" s="18" t="s">
        <v>106</v>
      </c>
      <c r="B118" s="19" t="s">
        <v>107</v>
      </c>
      <c r="C118" s="20">
        <f>C105</f>
        <v>410.4093838820171</v>
      </c>
    </row>
    <row r="119" spans="1:3" ht="15.75" thickBot="1" x14ac:dyDescent="0.25">
      <c r="A119" s="18" t="s">
        <v>114</v>
      </c>
      <c r="B119" s="19" t="s">
        <v>115</v>
      </c>
      <c r="C119" s="20"/>
    </row>
    <row r="120" spans="1:3" ht="16.5" thickBot="1" x14ac:dyDescent="0.25">
      <c r="A120" s="195" t="s">
        <v>63</v>
      </c>
      <c r="B120" s="196"/>
      <c r="C120" s="21">
        <f>SUM(C118:C119)</f>
        <v>410.4093838820171</v>
      </c>
    </row>
    <row r="121" spans="1:3" ht="12.75" customHeight="1" x14ac:dyDescent="0.2"/>
    <row r="122" spans="1:3" ht="12.75" customHeight="1" x14ac:dyDescent="0.2"/>
    <row r="123" spans="1:3" ht="15.75" x14ac:dyDescent="0.2">
      <c r="A123" s="198" t="s">
        <v>119</v>
      </c>
      <c r="B123" s="198"/>
      <c r="C123" s="198"/>
    </row>
    <row r="124" spans="1:3" ht="15.75" thickBot="1" x14ac:dyDescent="0.25"/>
    <row r="125" spans="1:3" ht="16.5" thickBot="1" x14ac:dyDescent="0.25">
      <c r="A125" s="46">
        <v>5</v>
      </c>
      <c r="B125" s="47" t="s">
        <v>120</v>
      </c>
      <c r="C125" s="48" t="s">
        <v>55</v>
      </c>
    </row>
    <row r="126" spans="1:3" ht="15.75" thickBot="1" x14ac:dyDescent="0.25">
      <c r="A126" s="18" t="s">
        <v>32</v>
      </c>
      <c r="B126" s="19" t="s">
        <v>121</v>
      </c>
      <c r="C126" s="20">
        <f>Uniformes!E22</f>
        <v>19.701833333333337</v>
      </c>
    </row>
    <row r="127" spans="1:3" ht="15.75" thickBot="1" x14ac:dyDescent="0.25">
      <c r="A127" s="18" t="s">
        <v>34</v>
      </c>
      <c r="B127" s="19" t="s">
        <v>122</v>
      </c>
      <c r="C127" s="20">
        <f>'Materiais de Consumo'!G300</f>
        <v>343.74177777777777</v>
      </c>
    </row>
    <row r="128" spans="1:3" ht="15.75" thickBot="1" x14ac:dyDescent="0.25">
      <c r="A128" s="18" t="s">
        <v>37</v>
      </c>
      <c r="B128" s="19" t="s">
        <v>123</v>
      </c>
      <c r="C128" s="20">
        <f>Equipamentos!F49</f>
        <v>8.2339361111111131</v>
      </c>
    </row>
    <row r="129" spans="1:4" ht="15.75" thickBot="1" x14ac:dyDescent="0.25">
      <c r="A129" s="18" t="s">
        <v>40</v>
      </c>
      <c r="B129" s="19" t="s">
        <v>62</v>
      </c>
      <c r="C129" s="20"/>
    </row>
    <row r="130" spans="1:4" ht="16.5" thickBot="1" x14ac:dyDescent="0.25">
      <c r="A130" s="201" t="s">
        <v>84</v>
      </c>
      <c r="B130" s="202"/>
      <c r="C130" s="54">
        <f>SUM(C126:C129)</f>
        <v>371.67754722222224</v>
      </c>
    </row>
    <row r="131" spans="1:4" ht="12.75" customHeight="1" x14ac:dyDescent="0.2"/>
    <row r="132" spans="1:4" ht="12.75" customHeight="1" x14ac:dyDescent="0.2"/>
    <row r="133" spans="1:4" ht="15.75" x14ac:dyDescent="0.2">
      <c r="A133" s="198" t="s">
        <v>124</v>
      </c>
      <c r="B133" s="198"/>
      <c r="C133" s="198"/>
    </row>
    <row r="134" spans="1:4" ht="15.75" thickBot="1" x14ac:dyDescent="0.25"/>
    <row r="135" spans="1:4" ht="16.5" thickBot="1" x14ac:dyDescent="0.25">
      <c r="A135" s="16">
        <v>6</v>
      </c>
      <c r="B135" s="30" t="s">
        <v>125</v>
      </c>
      <c r="C135" s="17" t="s">
        <v>126</v>
      </c>
      <c r="D135" s="17" t="s">
        <v>55</v>
      </c>
    </row>
    <row r="136" spans="1:4" ht="15.75" thickBot="1" x14ac:dyDescent="0.25">
      <c r="A136" s="18" t="s">
        <v>32</v>
      </c>
      <c r="B136" s="19" t="s">
        <v>127</v>
      </c>
      <c r="C136" s="23">
        <v>4.7300000000000002E-2</v>
      </c>
      <c r="D136" s="20">
        <f>(C35+C79+C91+C120+C130)*C136</f>
        <v>217.57284074931806</v>
      </c>
    </row>
    <row r="137" spans="1:4" ht="15.75" thickBot="1" x14ac:dyDescent="0.25">
      <c r="A137" s="18" t="s">
        <v>34</v>
      </c>
      <c r="B137" s="19" t="s">
        <v>128</v>
      </c>
      <c r="C137" s="23">
        <v>3.9E-2</v>
      </c>
      <c r="D137" s="20">
        <f>(C35+C79+C91+C120+C130+D136)*C137</f>
        <v>187.87943781297403</v>
      </c>
    </row>
    <row r="138" spans="1:4" ht="15.75" thickBot="1" x14ac:dyDescent="0.25">
      <c r="A138" s="18" t="s">
        <v>37</v>
      </c>
      <c r="B138" s="19" t="s">
        <v>129</v>
      </c>
      <c r="C138" s="23">
        <f>SUM(C139:C141)</f>
        <v>8.6499999999999994E-2</v>
      </c>
      <c r="D138" s="20">
        <f>(C35+C79+C91+C120+C130+D136+D137)/(1-C138)*C138</f>
        <v>473.9556974242297</v>
      </c>
    </row>
    <row r="139" spans="1:4" ht="15.75" thickBot="1" x14ac:dyDescent="0.25">
      <c r="A139" s="18"/>
      <c r="B139" s="19" t="s">
        <v>130</v>
      </c>
      <c r="C139" s="23">
        <v>3.6499999999999998E-2</v>
      </c>
      <c r="D139" s="20"/>
    </row>
    <row r="140" spans="1:4" ht="15.75" thickBot="1" x14ac:dyDescent="0.25">
      <c r="A140" s="18"/>
      <c r="B140" s="19" t="s">
        <v>131</v>
      </c>
      <c r="C140" s="23"/>
      <c r="D140" s="20"/>
    </row>
    <row r="141" spans="1:4" ht="15.75" thickBot="1" x14ac:dyDescent="0.25">
      <c r="A141" s="18"/>
      <c r="B141" s="19" t="s">
        <v>132</v>
      </c>
      <c r="C141" s="23">
        <v>0.05</v>
      </c>
      <c r="D141" s="20"/>
    </row>
    <row r="142" spans="1:4" ht="16.5" thickBot="1" x14ac:dyDescent="0.25">
      <c r="A142" s="195" t="s">
        <v>84</v>
      </c>
      <c r="B142" s="196"/>
      <c r="C142" s="24">
        <f>SUM(C136:C138)</f>
        <v>0.17280000000000001</v>
      </c>
      <c r="D142" s="21">
        <f>SUM(D136:D138)</f>
        <v>879.40797598652182</v>
      </c>
    </row>
    <row r="143" spans="1:4" ht="12.75" customHeight="1" x14ac:dyDescent="0.2"/>
    <row r="144" spans="1:4" ht="12.75" customHeight="1" x14ac:dyDescent="0.2"/>
    <row r="145" spans="1:3" ht="15.75" x14ac:dyDescent="0.2">
      <c r="A145" s="198" t="s">
        <v>133</v>
      </c>
      <c r="B145" s="198"/>
      <c r="C145" s="198"/>
    </row>
    <row r="146" spans="1:3" ht="15.75" thickBot="1" x14ac:dyDescent="0.25"/>
    <row r="147" spans="1:3" ht="32.25" thickBot="1" x14ac:dyDescent="0.25">
      <c r="A147" s="16"/>
      <c r="B147" s="17" t="s">
        <v>134</v>
      </c>
      <c r="C147" s="17" t="s">
        <v>55</v>
      </c>
    </row>
    <row r="148" spans="1:3" ht="16.5" thickBot="1" x14ac:dyDescent="0.25">
      <c r="A148" s="31" t="s">
        <v>32</v>
      </c>
      <c r="B148" s="19" t="s">
        <v>53</v>
      </c>
      <c r="C148" s="32">
        <f>C35</f>
        <v>1700.1</v>
      </c>
    </row>
    <row r="149" spans="1:3" ht="16.5" thickBot="1" x14ac:dyDescent="0.25">
      <c r="A149" s="31" t="s">
        <v>34</v>
      </c>
      <c r="B149" s="19" t="s">
        <v>64</v>
      </c>
      <c r="C149" s="32">
        <f>C79</f>
        <v>2060.4611584799995</v>
      </c>
    </row>
    <row r="150" spans="1:3" ht="16.5" thickBot="1" x14ac:dyDescent="0.25">
      <c r="A150" s="31" t="s">
        <v>37</v>
      </c>
      <c r="B150" s="19" t="s">
        <v>96</v>
      </c>
      <c r="C150" s="32">
        <f>C91</f>
        <v>57.200552050391991</v>
      </c>
    </row>
    <row r="151" spans="1:3" ht="16.5" thickBot="1" x14ac:dyDescent="0.25">
      <c r="A151" s="31" t="s">
        <v>40</v>
      </c>
      <c r="B151" s="19" t="s">
        <v>104</v>
      </c>
      <c r="C151" s="32">
        <f>C120</f>
        <v>410.4093838820171</v>
      </c>
    </row>
    <row r="152" spans="1:3" ht="16.5" thickBot="1" x14ac:dyDescent="0.25">
      <c r="A152" s="31" t="s">
        <v>42</v>
      </c>
      <c r="B152" s="19" t="s">
        <v>119</v>
      </c>
      <c r="C152" s="32">
        <f>C130</f>
        <v>371.67754722222224</v>
      </c>
    </row>
    <row r="153" spans="1:3" ht="16.5" thickBot="1" x14ac:dyDescent="0.25">
      <c r="A153" s="195" t="s">
        <v>135</v>
      </c>
      <c r="B153" s="196"/>
      <c r="C153" s="33">
        <f>SUM(C148:C152)</f>
        <v>4599.8486416346313</v>
      </c>
    </row>
    <row r="154" spans="1:3" ht="16.5" thickBot="1" x14ac:dyDescent="0.25">
      <c r="A154" s="31" t="s">
        <v>79</v>
      </c>
      <c r="B154" s="19" t="s">
        <v>136</v>
      </c>
      <c r="C154" s="32">
        <f>D142</f>
        <v>879.40797598652182</v>
      </c>
    </row>
    <row r="155" spans="1:3" ht="16.5" thickBot="1" x14ac:dyDescent="0.25">
      <c r="A155" s="195" t="s">
        <v>137</v>
      </c>
      <c r="B155" s="196"/>
      <c r="C155" s="127">
        <f>SUM(C153:C154)</f>
        <v>5479.2566176211531</v>
      </c>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5" fitToHeight="0" orientation="portrait" horizontalDpi="300" verticalDpi="300" r:id="rId1"/>
  <headerFooter>
    <oddHeader>&amp;C&amp;"Arial,Negrito"&amp;14&amp;UPLANILHA DE CUSTO - SERVENTE DE SEGUNDA À SEXTA-FEIRA COM INSALUBRIDADE - ITEM 3</oddHeader>
  </headerFooter>
  <rowBreaks count="2" manualBreakCount="2">
    <brk id="47" max="16383" man="1"/>
    <brk id="10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55"/>
  <sheetViews>
    <sheetView showGridLines="0" zoomScaleNormal="100" workbookViewId="0">
      <selection activeCell="B9" sqref="B9"/>
    </sheetView>
  </sheetViews>
  <sheetFormatPr defaultRowHeight="15" x14ac:dyDescent="0.25"/>
  <cols>
    <col min="2" max="2" width="72.140625" customWidth="1"/>
    <col min="3" max="3" width="21.140625" customWidth="1"/>
    <col min="4" max="4" width="18.42578125" customWidth="1"/>
  </cols>
  <sheetData>
    <row r="1" spans="1:4" ht="23.25" x14ac:dyDescent="0.35">
      <c r="A1" s="200" t="s">
        <v>26</v>
      </c>
      <c r="B1" s="200"/>
      <c r="C1" s="200"/>
      <c r="D1" s="200"/>
    </row>
    <row r="2" spans="1:4" ht="15.75" x14ac:dyDescent="0.25">
      <c r="A2" s="205" t="s">
        <v>27</v>
      </c>
      <c r="B2" s="205"/>
      <c r="C2" s="205"/>
      <c r="D2" s="205"/>
    </row>
    <row r="3" spans="1:4" ht="15.75" customHeight="1" x14ac:dyDescent="0.25">
      <c r="A3" s="15"/>
      <c r="B3" s="15"/>
      <c r="C3" s="15"/>
      <c r="D3" s="15"/>
    </row>
    <row r="4" spans="1:4" ht="18" customHeight="1" x14ac:dyDescent="0.25">
      <c r="A4" s="34"/>
      <c r="B4" s="35" t="s">
        <v>28</v>
      </c>
      <c r="C4" s="37" t="s">
        <v>29</v>
      </c>
      <c r="D4" s="15"/>
    </row>
    <row r="5" spans="1:4" ht="18" customHeight="1" x14ac:dyDescent="0.25">
      <c r="A5" s="34"/>
      <c r="B5" s="35" t="s">
        <v>30</v>
      </c>
      <c r="C5" s="36"/>
      <c r="D5" s="15"/>
    </row>
    <row r="6" spans="1:4" ht="16.5" customHeight="1" x14ac:dyDescent="0.25">
      <c r="A6" s="15"/>
      <c r="B6" s="15"/>
      <c r="C6" s="15"/>
      <c r="D6" s="15"/>
    </row>
    <row r="7" spans="1:4" ht="18.75" customHeight="1" x14ac:dyDescent="0.25">
      <c r="A7" s="198" t="s">
        <v>146</v>
      </c>
      <c r="B7" s="198"/>
      <c r="C7" s="198"/>
      <c r="D7" s="15"/>
    </row>
    <row r="8" spans="1:4" ht="16.5" customHeight="1" x14ac:dyDescent="0.25">
      <c r="A8" s="38"/>
      <c r="B8" s="38"/>
      <c r="C8" s="38"/>
      <c r="D8" s="15"/>
    </row>
    <row r="9" spans="1:4" ht="16.5" customHeight="1" x14ac:dyDescent="0.25">
      <c r="A9" s="37" t="s">
        <v>32</v>
      </c>
      <c r="B9" s="39" t="s">
        <v>33</v>
      </c>
      <c r="C9" s="37"/>
      <c r="D9" s="15"/>
    </row>
    <row r="10" spans="1:4" ht="16.5" customHeight="1" x14ac:dyDescent="0.25">
      <c r="A10" s="37" t="s">
        <v>34</v>
      </c>
      <c r="B10" s="39" t="s">
        <v>35</v>
      </c>
      <c r="C10" s="37" t="s">
        <v>36</v>
      </c>
      <c r="D10" s="15"/>
    </row>
    <row r="11" spans="1:4" ht="36.75" customHeight="1" x14ac:dyDescent="0.25">
      <c r="A11" s="37" t="s">
        <v>37</v>
      </c>
      <c r="B11" s="39" t="s">
        <v>38</v>
      </c>
      <c r="C11" s="43" t="s">
        <v>39</v>
      </c>
      <c r="D11" s="15"/>
    </row>
    <row r="12" spans="1:4" ht="16.5" customHeight="1" x14ac:dyDescent="0.25">
      <c r="A12" s="37" t="s">
        <v>40</v>
      </c>
      <c r="B12" s="39" t="s">
        <v>41</v>
      </c>
      <c r="C12" s="37">
        <v>30</v>
      </c>
      <c r="D12" s="15"/>
    </row>
    <row r="13" spans="1:4" ht="15.75" x14ac:dyDescent="0.25">
      <c r="A13" s="37" t="s">
        <v>42</v>
      </c>
      <c r="B13" s="122" t="s">
        <v>152</v>
      </c>
      <c r="C13" s="105">
        <f>'QTD TOTAL SERVENTE-ENCARREGADO'!F6</f>
        <v>1</v>
      </c>
      <c r="D13" s="15"/>
    </row>
    <row r="14" spans="1:4" ht="13.5" customHeight="1" x14ac:dyDescent="0.25">
      <c r="A14" s="15"/>
      <c r="B14" s="15"/>
      <c r="C14" s="15"/>
      <c r="D14" s="15"/>
    </row>
    <row r="15" spans="1:4" ht="13.5" customHeight="1" x14ac:dyDescent="0.25">
      <c r="A15" s="45"/>
      <c r="B15" s="45"/>
      <c r="C15" s="15"/>
      <c r="D15" s="15"/>
    </row>
    <row r="16" spans="1:4" ht="18.75" customHeight="1" x14ac:dyDescent="0.25">
      <c r="A16" s="198" t="s">
        <v>44</v>
      </c>
      <c r="B16" s="198"/>
      <c r="C16" s="198"/>
      <c r="D16" s="15"/>
    </row>
    <row r="17" spans="1:4" ht="16.5" customHeight="1" x14ac:dyDescent="0.25">
      <c r="A17" s="15"/>
      <c r="B17" s="15"/>
      <c r="C17" s="15"/>
      <c r="D17" s="15"/>
    </row>
    <row r="18" spans="1:4" ht="16.5" customHeight="1" x14ac:dyDescent="0.25">
      <c r="A18" s="199" t="s">
        <v>45</v>
      </c>
      <c r="B18" s="199"/>
      <c r="C18" s="199"/>
      <c r="D18" s="15"/>
    </row>
    <row r="19" spans="1:4" ht="16.5" customHeight="1" x14ac:dyDescent="0.25">
      <c r="A19" s="40"/>
      <c r="B19" s="40"/>
      <c r="C19" s="40"/>
      <c r="D19" s="15"/>
    </row>
    <row r="20" spans="1:4" ht="30" x14ac:dyDescent="0.25">
      <c r="A20" s="41">
        <v>1</v>
      </c>
      <c r="B20" s="42" t="s">
        <v>46</v>
      </c>
      <c r="C20" s="43" t="s">
        <v>47</v>
      </c>
      <c r="D20" s="15"/>
    </row>
    <row r="21" spans="1:4" ht="19.5" customHeight="1" x14ac:dyDescent="0.25">
      <c r="A21" s="41">
        <v>2</v>
      </c>
      <c r="B21" s="42" t="s">
        <v>140</v>
      </c>
      <c r="C21" s="37" t="s">
        <v>141</v>
      </c>
      <c r="D21" s="15"/>
    </row>
    <row r="22" spans="1:4" ht="47.25" customHeight="1" x14ac:dyDescent="0.25">
      <c r="A22" s="41">
        <v>3</v>
      </c>
      <c r="B22" s="42" t="s">
        <v>50</v>
      </c>
      <c r="C22" s="43" t="s">
        <v>148</v>
      </c>
      <c r="D22" s="15"/>
    </row>
    <row r="23" spans="1:4" ht="16.5" customHeight="1" x14ac:dyDescent="0.25">
      <c r="A23" s="37">
        <v>4</v>
      </c>
      <c r="B23" s="42" t="s">
        <v>52</v>
      </c>
      <c r="C23" s="44">
        <v>44562</v>
      </c>
      <c r="D23" s="15"/>
    </row>
    <row r="24" spans="1:4" ht="16.5" customHeight="1" x14ac:dyDescent="0.25">
      <c r="A24" s="15"/>
      <c r="B24" s="15"/>
      <c r="C24" s="15"/>
      <c r="D24" s="15"/>
    </row>
    <row r="25" spans="1:4" ht="16.5" customHeight="1" x14ac:dyDescent="0.25">
      <c r="A25" s="198" t="s">
        <v>53</v>
      </c>
      <c r="B25" s="198"/>
      <c r="C25" s="198"/>
      <c r="D25" s="15"/>
    </row>
    <row r="26" spans="1:4" ht="16.5" customHeight="1" thickBot="1" x14ac:dyDescent="0.3">
      <c r="A26" s="15"/>
      <c r="B26" s="15"/>
      <c r="C26" s="15"/>
      <c r="D26" s="15"/>
    </row>
    <row r="27" spans="1:4" ht="16.5" customHeight="1" thickBot="1" x14ac:dyDescent="0.3">
      <c r="A27" s="16">
        <v>1</v>
      </c>
      <c r="B27" s="17" t="s">
        <v>54</v>
      </c>
      <c r="C27" s="17" t="s">
        <v>55</v>
      </c>
      <c r="D27" s="15"/>
    </row>
    <row r="28" spans="1:4" ht="16.5" customHeight="1" thickBot="1" x14ac:dyDescent="0.3">
      <c r="A28" s="18" t="s">
        <v>32</v>
      </c>
      <c r="B28" s="19" t="s">
        <v>56</v>
      </c>
      <c r="C28" s="20">
        <v>2833.5</v>
      </c>
      <c r="D28" s="15"/>
    </row>
    <row r="29" spans="1:4" ht="16.5" customHeight="1" thickBot="1" x14ac:dyDescent="0.3">
      <c r="A29" s="18" t="s">
        <v>34</v>
      </c>
      <c r="B29" s="19" t="s">
        <v>57</v>
      </c>
      <c r="C29" s="20"/>
      <c r="D29" s="15"/>
    </row>
    <row r="30" spans="1:4" ht="16.5" customHeight="1" thickBot="1" x14ac:dyDescent="0.3">
      <c r="A30" s="18" t="s">
        <v>37</v>
      </c>
      <c r="B30" s="19" t="s">
        <v>58</v>
      </c>
      <c r="C30" s="20"/>
      <c r="D30" s="15"/>
    </row>
    <row r="31" spans="1:4" ht="16.5" customHeight="1" thickBot="1" x14ac:dyDescent="0.3">
      <c r="A31" s="18" t="s">
        <v>40</v>
      </c>
      <c r="B31" s="19" t="s">
        <v>59</v>
      </c>
      <c r="C31" s="20"/>
      <c r="D31" s="15"/>
    </row>
    <row r="32" spans="1:4" ht="16.5" customHeight="1" thickBot="1" x14ac:dyDescent="0.3">
      <c r="A32" s="18" t="s">
        <v>42</v>
      </c>
      <c r="B32" s="19" t="s">
        <v>60</v>
      </c>
      <c r="C32" s="20"/>
      <c r="D32" s="15"/>
    </row>
    <row r="33" spans="1:4" ht="16.5" customHeight="1" thickBot="1" x14ac:dyDescent="0.3">
      <c r="A33" s="18"/>
      <c r="B33" s="19"/>
      <c r="C33" s="20"/>
      <c r="D33" s="15"/>
    </row>
    <row r="34" spans="1:4" ht="16.5" customHeight="1" thickBot="1" x14ac:dyDescent="0.3">
      <c r="A34" s="18" t="s">
        <v>61</v>
      </c>
      <c r="B34" s="19" t="s">
        <v>62</v>
      </c>
      <c r="C34" s="20"/>
      <c r="D34" s="15"/>
    </row>
    <row r="35" spans="1:4" ht="16.5" customHeight="1" thickBot="1" x14ac:dyDescent="0.3">
      <c r="A35" s="195" t="s">
        <v>63</v>
      </c>
      <c r="B35" s="196"/>
      <c r="C35" s="21">
        <f>SUM(C28:C34)</f>
        <v>2833.5</v>
      </c>
      <c r="D35" s="15"/>
    </row>
    <row r="36" spans="1:4" ht="13.5" customHeight="1" x14ac:dyDescent="0.25">
      <c r="A36" s="15"/>
      <c r="B36" s="15"/>
      <c r="C36" s="15"/>
      <c r="D36" s="15"/>
    </row>
    <row r="37" spans="1:4" ht="13.5" customHeight="1" x14ac:dyDescent="0.25">
      <c r="A37" s="15"/>
      <c r="B37" s="15"/>
      <c r="C37" s="15"/>
      <c r="D37" s="15"/>
    </row>
    <row r="38" spans="1:4" ht="16.5" customHeight="1" x14ac:dyDescent="0.25">
      <c r="A38" s="198" t="s">
        <v>64</v>
      </c>
      <c r="B38" s="198"/>
      <c r="C38" s="198"/>
      <c r="D38" s="15"/>
    </row>
    <row r="39" spans="1:4" ht="16.5" customHeight="1" x14ac:dyDescent="0.25">
      <c r="A39" s="22"/>
      <c r="B39" s="15"/>
      <c r="C39" s="15"/>
      <c r="D39" s="15"/>
    </row>
    <row r="40" spans="1:4" ht="16.5" customHeight="1" x14ac:dyDescent="0.25">
      <c r="A40" s="194" t="s">
        <v>65</v>
      </c>
      <c r="B40" s="194"/>
      <c r="C40" s="194"/>
      <c r="D40" s="15"/>
    </row>
    <row r="41" spans="1:4" ht="16.5" customHeight="1" thickBot="1" x14ac:dyDescent="0.3">
      <c r="A41" s="15"/>
      <c r="B41" s="15"/>
      <c r="C41" s="15"/>
      <c r="D41" s="15"/>
    </row>
    <row r="42" spans="1:4" ht="16.5" customHeight="1" thickBot="1" x14ac:dyDescent="0.3">
      <c r="A42" s="16" t="s">
        <v>66</v>
      </c>
      <c r="B42" s="17" t="s">
        <v>67</v>
      </c>
      <c r="C42" s="17" t="s">
        <v>55</v>
      </c>
      <c r="D42" s="15"/>
    </row>
    <row r="43" spans="1:4" ht="16.5" customHeight="1" thickBot="1" x14ac:dyDescent="0.3">
      <c r="A43" s="18" t="s">
        <v>32</v>
      </c>
      <c r="B43" s="19" t="s">
        <v>68</v>
      </c>
      <c r="C43" s="20">
        <f>C35*8.33%</f>
        <v>236.03055000000001</v>
      </c>
      <c r="D43" s="15"/>
    </row>
    <row r="44" spans="1:4" ht="16.5" customHeight="1" thickBot="1" x14ac:dyDescent="0.3">
      <c r="A44" s="18" t="s">
        <v>34</v>
      </c>
      <c r="B44" s="19" t="s">
        <v>69</v>
      </c>
      <c r="C44" s="20">
        <f>C35*2.78%</f>
        <v>78.771299999999997</v>
      </c>
      <c r="D44" s="15"/>
    </row>
    <row r="45" spans="1:4" ht="16.5" customHeight="1" thickBot="1" x14ac:dyDescent="0.3">
      <c r="A45" s="195" t="s">
        <v>63</v>
      </c>
      <c r="B45" s="196"/>
      <c r="C45" s="21">
        <f>SUM(C43:C44)</f>
        <v>314.80185</v>
      </c>
      <c r="D45" s="15"/>
    </row>
    <row r="46" spans="1:4" ht="12.75" customHeight="1" x14ac:dyDescent="0.25">
      <c r="A46" s="15"/>
      <c r="B46" s="15"/>
      <c r="C46" s="15"/>
      <c r="D46" s="15"/>
    </row>
    <row r="47" spans="1:4" ht="12.75" customHeight="1" x14ac:dyDescent="0.25">
      <c r="A47" s="15"/>
      <c r="B47" s="15"/>
      <c r="C47" s="15"/>
      <c r="D47" s="15"/>
    </row>
    <row r="48" spans="1:4" ht="16.5" customHeight="1" x14ac:dyDescent="0.25">
      <c r="A48" s="197" t="s">
        <v>70</v>
      </c>
      <c r="B48" s="197"/>
      <c r="C48" s="197"/>
      <c r="D48" s="197"/>
    </row>
    <row r="49" spans="1:4" ht="16.5" customHeight="1" thickBot="1" x14ac:dyDescent="0.3">
      <c r="A49" s="15"/>
      <c r="B49" s="15"/>
      <c r="C49" s="15"/>
      <c r="D49" s="15"/>
    </row>
    <row r="50" spans="1:4" ht="16.5" customHeight="1" thickBot="1" x14ac:dyDescent="0.3">
      <c r="A50" s="16" t="s">
        <v>71</v>
      </c>
      <c r="B50" s="17" t="s">
        <v>72</v>
      </c>
      <c r="C50" s="17" t="s">
        <v>73</v>
      </c>
      <c r="D50" s="17" t="s">
        <v>55</v>
      </c>
    </row>
    <row r="51" spans="1:4" ht="16.5" customHeight="1" thickBot="1" x14ac:dyDescent="0.3">
      <c r="A51" s="18" t="s">
        <v>32</v>
      </c>
      <c r="B51" s="19" t="s">
        <v>74</v>
      </c>
      <c r="C51" s="23">
        <v>0.2</v>
      </c>
      <c r="D51" s="20">
        <f t="shared" ref="D51:D58" si="0">($C$35+$C$45)*C51</f>
        <v>629.66037000000006</v>
      </c>
    </row>
    <row r="52" spans="1:4" ht="16.5" customHeight="1" thickBot="1" x14ac:dyDescent="0.3">
      <c r="A52" s="18" t="s">
        <v>34</v>
      </c>
      <c r="B52" s="19" t="s">
        <v>75</v>
      </c>
      <c r="C52" s="23">
        <v>2.5000000000000001E-2</v>
      </c>
      <c r="D52" s="20">
        <f t="shared" si="0"/>
        <v>78.707546250000007</v>
      </c>
    </row>
    <row r="53" spans="1:4" ht="16.5" customHeight="1" thickBot="1" x14ac:dyDescent="0.3">
      <c r="A53" s="18" t="s">
        <v>37</v>
      </c>
      <c r="B53" s="19" t="s">
        <v>76</v>
      </c>
      <c r="C53" s="23">
        <v>0.03</v>
      </c>
      <c r="D53" s="20">
        <f t="shared" si="0"/>
        <v>94.449055499999986</v>
      </c>
    </row>
    <row r="54" spans="1:4" ht="16.5" customHeight="1" thickBot="1" x14ac:dyDescent="0.3">
      <c r="A54" s="18" t="s">
        <v>40</v>
      </c>
      <c r="B54" s="19" t="s">
        <v>77</v>
      </c>
      <c r="C54" s="23">
        <v>1.4999999999999999E-2</v>
      </c>
      <c r="D54" s="20">
        <f t="shared" si="0"/>
        <v>47.224527749999993</v>
      </c>
    </row>
    <row r="55" spans="1:4" ht="16.5" customHeight="1" thickBot="1" x14ac:dyDescent="0.3">
      <c r="A55" s="18" t="s">
        <v>42</v>
      </c>
      <c r="B55" s="19" t="s">
        <v>78</v>
      </c>
      <c r="C55" s="23">
        <v>0.01</v>
      </c>
      <c r="D55" s="20">
        <f t="shared" si="0"/>
        <v>31.4830185</v>
      </c>
    </row>
    <row r="56" spans="1:4" ht="16.5" customHeight="1" thickBot="1" x14ac:dyDescent="0.3">
      <c r="A56" s="18" t="s">
        <v>79</v>
      </c>
      <c r="B56" s="19" t="s">
        <v>80</v>
      </c>
      <c r="C56" s="23">
        <v>6.0000000000000001E-3</v>
      </c>
      <c r="D56" s="20">
        <f t="shared" si="0"/>
        <v>18.889811099999999</v>
      </c>
    </row>
    <row r="57" spans="1:4" ht="16.5" customHeight="1" thickBot="1" x14ac:dyDescent="0.3">
      <c r="A57" s="18" t="s">
        <v>61</v>
      </c>
      <c r="B57" s="19" t="s">
        <v>81</v>
      </c>
      <c r="C57" s="23">
        <v>2E-3</v>
      </c>
      <c r="D57" s="20">
        <f t="shared" si="0"/>
        <v>6.2966036999999995</v>
      </c>
    </row>
    <row r="58" spans="1:4" ht="16.5" customHeight="1" thickBot="1" x14ac:dyDescent="0.3">
      <c r="A58" s="18" t="s">
        <v>82</v>
      </c>
      <c r="B58" s="19" t="s">
        <v>83</v>
      </c>
      <c r="C58" s="23">
        <v>0.08</v>
      </c>
      <c r="D58" s="20">
        <f t="shared" si="0"/>
        <v>251.864148</v>
      </c>
    </row>
    <row r="59" spans="1:4" ht="16.5" customHeight="1" thickBot="1" x14ac:dyDescent="0.3">
      <c r="A59" s="195" t="s">
        <v>84</v>
      </c>
      <c r="B59" s="196"/>
      <c r="C59" s="24">
        <f>SUM(C51:C58)</f>
        <v>0.36800000000000005</v>
      </c>
      <c r="D59" s="21">
        <f>SUM(D51:D58)</f>
        <v>1158.5750807999998</v>
      </c>
    </row>
    <row r="60" spans="1:4" ht="12.75" customHeight="1" x14ac:dyDescent="0.25">
      <c r="A60" s="15"/>
      <c r="B60" s="15"/>
      <c r="C60" s="15"/>
      <c r="D60" s="15"/>
    </row>
    <row r="61" spans="1:4" ht="12.75" customHeight="1" x14ac:dyDescent="0.25">
      <c r="A61" s="15"/>
      <c r="B61" s="15"/>
      <c r="C61" s="15"/>
      <c r="D61" s="15"/>
    </row>
    <row r="62" spans="1:4" ht="16.5" customHeight="1" x14ac:dyDescent="0.25">
      <c r="A62" s="194" t="s">
        <v>85</v>
      </c>
      <c r="B62" s="194"/>
      <c r="C62" s="194"/>
      <c r="D62" s="15"/>
    </row>
    <row r="63" spans="1:4" ht="16.5" customHeight="1" thickBot="1" x14ac:dyDescent="0.3">
      <c r="A63" s="15"/>
      <c r="B63" s="15"/>
      <c r="C63" s="15"/>
      <c r="D63" s="15"/>
    </row>
    <row r="64" spans="1:4" ht="16.5" customHeight="1" thickBot="1" x14ac:dyDescent="0.3">
      <c r="A64" s="16" t="s">
        <v>86</v>
      </c>
      <c r="B64" s="17" t="s">
        <v>87</v>
      </c>
      <c r="C64" s="17" t="s">
        <v>55</v>
      </c>
      <c r="D64" s="15"/>
    </row>
    <row r="65" spans="1:4" ht="16.5" customHeight="1" thickBot="1" x14ac:dyDescent="0.3">
      <c r="A65" s="18" t="s">
        <v>32</v>
      </c>
      <c r="B65" s="19" t="s">
        <v>88</v>
      </c>
      <c r="C65" s="20">
        <f>('CÁLCULO TRANSPORTE-ALIMENTAÇÃO'!B49*'Custo Encarreg SEG-SEX - ITEM 3'!D65)-(C28*6%)</f>
        <v>71.990000000000009</v>
      </c>
      <c r="D65" s="106">
        <f>5.5*2</f>
        <v>11</v>
      </c>
    </row>
    <row r="66" spans="1:4" ht="16.5" customHeight="1" thickBot="1" x14ac:dyDescent="0.3">
      <c r="A66" s="18" t="s">
        <v>34</v>
      </c>
      <c r="B66" s="19" t="s">
        <v>89</v>
      </c>
      <c r="C66" s="20">
        <f>D66*'CÁLCULO TRANSPORTE-ALIMENTAÇÃO'!B49</f>
        <v>836</v>
      </c>
      <c r="D66" s="106">
        <v>38</v>
      </c>
    </row>
    <row r="67" spans="1:4" ht="16.5" customHeight="1" thickBot="1" x14ac:dyDescent="0.3">
      <c r="A67" s="18" t="s">
        <v>37</v>
      </c>
      <c r="B67" s="19" t="s">
        <v>90</v>
      </c>
      <c r="C67" s="20">
        <v>169.67</v>
      </c>
      <c r="D67" s="15"/>
    </row>
    <row r="68" spans="1:4" ht="16.5" customHeight="1" thickBot="1" x14ac:dyDescent="0.3">
      <c r="A68" s="18" t="s">
        <v>40</v>
      </c>
      <c r="B68" s="19" t="s">
        <v>91</v>
      </c>
      <c r="C68" s="20">
        <v>11.27</v>
      </c>
      <c r="D68" s="15"/>
    </row>
    <row r="69" spans="1:4" ht="16.5" customHeight="1" thickBot="1" x14ac:dyDescent="0.3">
      <c r="A69" s="18" t="s">
        <v>42</v>
      </c>
      <c r="B69" s="19" t="s">
        <v>92</v>
      </c>
      <c r="C69" s="20">
        <v>2.5</v>
      </c>
      <c r="D69" s="15"/>
    </row>
    <row r="70" spans="1:4" ht="16.5" customHeight="1" thickBot="1" x14ac:dyDescent="0.3">
      <c r="A70" s="195" t="s">
        <v>63</v>
      </c>
      <c r="B70" s="196"/>
      <c r="C70" s="21">
        <f>SUM(C65:C69)</f>
        <v>1091.43</v>
      </c>
      <c r="D70" s="15"/>
    </row>
    <row r="71" spans="1:4" ht="12" customHeight="1" x14ac:dyDescent="0.25">
      <c r="A71" s="15"/>
      <c r="B71" s="15"/>
      <c r="C71" s="15"/>
      <c r="D71" s="15"/>
    </row>
    <row r="72" spans="1:4" ht="12" customHeight="1" x14ac:dyDescent="0.25">
      <c r="A72" s="15"/>
      <c r="B72" s="15"/>
      <c r="C72" s="15"/>
      <c r="D72" s="15"/>
    </row>
    <row r="73" spans="1:4" ht="16.5" customHeight="1" x14ac:dyDescent="0.25">
      <c r="A73" s="194" t="s">
        <v>93</v>
      </c>
      <c r="B73" s="194"/>
      <c r="C73" s="194"/>
      <c r="D73" s="15"/>
    </row>
    <row r="74" spans="1:4" ht="16.5" customHeight="1" thickBot="1" x14ac:dyDescent="0.3">
      <c r="A74" s="15"/>
      <c r="B74" s="15"/>
      <c r="C74" s="15"/>
      <c r="D74" s="15"/>
    </row>
    <row r="75" spans="1:4" ht="16.5" customHeight="1" thickBot="1" x14ac:dyDescent="0.3">
      <c r="A75" s="16">
        <v>2</v>
      </c>
      <c r="B75" s="17" t="s">
        <v>94</v>
      </c>
      <c r="C75" s="17" t="s">
        <v>55</v>
      </c>
      <c r="D75" s="15"/>
    </row>
    <row r="76" spans="1:4" ht="16.5" customHeight="1" thickBot="1" x14ac:dyDescent="0.3">
      <c r="A76" s="18" t="s">
        <v>66</v>
      </c>
      <c r="B76" s="19" t="s">
        <v>95</v>
      </c>
      <c r="C76" s="20">
        <f>C45</f>
        <v>314.80185</v>
      </c>
      <c r="D76" s="15"/>
    </row>
    <row r="77" spans="1:4" ht="16.5" customHeight="1" thickBot="1" x14ac:dyDescent="0.3">
      <c r="A77" s="18" t="s">
        <v>71</v>
      </c>
      <c r="B77" s="19" t="s">
        <v>72</v>
      </c>
      <c r="C77" s="20">
        <f>D59</f>
        <v>1158.5750807999998</v>
      </c>
      <c r="D77" s="15"/>
    </row>
    <row r="78" spans="1:4" ht="16.5" customHeight="1" thickBot="1" x14ac:dyDescent="0.3">
      <c r="A78" s="18" t="s">
        <v>86</v>
      </c>
      <c r="B78" s="19" t="s">
        <v>87</v>
      </c>
      <c r="C78" s="20">
        <f>C70</f>
        <v>1091.43</v>
      </c>
      <c r="D78" s="15"/>
    </row>
    <row r="79" spans="1:4" ht="16.5" customHeight="1" thickBot="1" x14ac:dyDescent="0.3">
      <c r="A79" s="195" t="s">
        <v>63</v>
      </c>
      <c r="B79" s="196"/>
      <c r="C79" s="21">
        <f>SUM(C76:C78)</f>
        <v>2564.8069307999999</v>
      </c>
      <c r="D79" s="15"/>
    </row>
    <row r="80" spans="1:4" ht="12.75" customHeight="1" x14ac:dyDescent="0.25">
      <c r="A80" s="25"/>
      <c r="B80" s="15"/>
      <c r="C80" s="15"/>
      <c r="D80" s="15"/>
    </row>
    <row r="81" spans="1:4" ht="12.75" customHeight="1" x14ac:dyDescent="0.25">
      <c r="A81" s="15"/>
      <c r="B81" s="15"/>
      <c r="C81" s="15"/>
      <c r="D81" s="15"/>
    </row>
    <row r="82" spans="1:4" ht="16.5" customHeight="1" x14ac:dyDescent="0.25">
      <c r="A82" s="198" t="s">
        <v>96</v>
      </c>
      <c r="B82" s="198"/>
      <c r="C82" s="198"/>
      <c r="D82" s="15"/>
    </row>
    <row r="83" spans="1:4" ht="16.5" customHeight="1" thickBot="1" x14ac:dyDescent="0.3">
      <c r="A83" s="15"/>
      <c r="B83" s="15"/>
      <c r="C83" s="15"/>
      <c r="D83" s="15"/>
    </row>
    <row r="84" spans="1:4" ht="16.5" customHeight="1" thickBot="1" x14ac:dyDescent="0.3">
      <c r="A84" s="26">
        <v>3</v>
      </c>
      <c r="B84" s="27" t="s">
        <v>97</v>
      </c>
      <c r="C84" s="27" t="s">
        <v>55</v>
      </c>
      <c r="D84" s="15"/>
    </row>
    <row r="85" spans="1:4" ht="16.5" customHeight="1" thickBot="1" x14ac:dyDescent="0.3">
      <c r="A85" s="18" t="s">
        <v>32</v>
      </c>
      <c r="B85" s="28" t="s">
        <v>98</v>
      </c>
      <c r="C85" s="20">
        <f>(C35+C45+D59+C70)*0.26%</f>
        <v>14.035598020079998</v>
      </c>
      <c r="D85" s="15"/>
    </row>
    <row r="86" spans="1:4" ht="16.5" customHeight="1" thickBot="1" x14ac:dyDescent="0.3">
      <c r="A86" s="18" t="s">
        <v>34</v>
      </c>
      <c r="B86" s="28" t="s">
        <v>99</v>
      </c>
      <c r="C86" s="20">
        <f>(C35+C45)*0.02%</f>
        <v>0.62966036999999997</v>
      </c>
      <c r="D86" s="15"/>
    </row>
    <row r="87" spans="1:4" ht="16.5" customHeight="1" thickBot="1" x14ac:dyDescent="0.3">
      <c r="A87" s="18" t="s">
        <v>37</v>
      </c>
      <c r="B87" s="28" t="s">
        <v>100</v>
      </c>
      <c r="C87" s="20">
        <f>(C35+C45)*0.01%</f>
        <v>0.31483018499999998</v>
      </c>
      <c r="D87" s="15"/>
    </row>
    <row r="88" spans="1:4" ht="16.5" customHeight="1" thickBot="1" x14ac:dyDescent="0.3">
      <c r="A88" s="18" t="s">
        <v>40</v>
      </c>
      <c r="B88" s="28" t="s">
        <v>101</v>
      </c>
      <c r="C88" s="20">
        <f>(C35+C79)*1.03%</f>
        <v>55.602561387239994</v>
      </c>
      <c r="D88" s="15"/>
    </row>
    <row r="89" spans="1:4" ht="30.75" thickBot="1" x14ac:dyDescent="0.3">
      <c r="A89" s="18" t="s">
        <v>42</v>
      </c>
      <c r="B89" s="28" t="s">
        <v>102</v>
      </c>
      <c r="C89" s="20">
        <f>(C35+C45)*0.38%</f>
        <v>11.963547029999999</v>
      </c>
      <c r="D89" s="15"/>
    </row>
    <row r="90" spans="1:4" ht="16.5" customHeight="1" thickBot="1" x14ac:dyDescent="0.3">
      <c r="A90" s="18" t="s">
        <v>79</v>
      </c>
      <c r="B90" s="28" t="s">
        <v>103</v>
      </c>
      <c r="C90" s="20">
        <f>(C35+C45)*0.05%</f>
        <v>1.5741509249999999</v>
      </c>
      <c r="D90" s="15"/>
    </row>
    <row r="91" spans="1:4" ht="16.5" customHeight="1" thickBot="1" x14ac:dyDescent="0.3">
      <c r="A91" s="203" t="s">
        <v>63</v>
      </c>
      <c r="B91" s="204"/>
      <c r="C91" s="29">
        <f>SUM(C85:C90)</f>
        <v>84.12034791731999</v>
      </c>
      <c r="D91" s="15"/>
    </row>
    <row r="92" spans="1:4" ht="13.5" customHeight="1" x14ac:dyDescent="0.25">
      <c r="A92" s="15"/>
      <c r="B92" s="15"/>
      <c r="C92" s="15"/>
      <c r="D92" s="15"/>
    </row>
    <row r="93" spans="1:4" ht="13.5" customHeight="1" x14ac:dyDescent="0.25">
      <c r="A93" s="15"/>
      <c r="B93" s="15"/>
      <c r="C93" s="15"/>
      <c r="D93" s="15"/>
    </row>
    <row r="94" spans="1:4" ht="16.5" customHeight="1" x14ac:dyDescent="0.25">
      <c r="A94" s="198" t="s">
        <v>104</v>
      </c>
      <c r="B94" s="198"/>
      <c r="C94" s="198"/>
      <c r="D94" s="15"/>
    </row>
    <row r="95" spans="1:4" ht="16.5" customHeight="1" x14ac:dyDescent="0.25">
      <c r="A95" s="15"/>
      <c r="B95" s="15"/>
      <c r="C95" s="15"/>
      <c r="D95" s="15"/>
    </row>
    <row r="96" spans="1:4" ht="16.5" customHeight="1" x14ac:dyDescent="0.25">
      <c r="A96" s="194" t="s">
        <v>105</v>
      </c>
      <c r="B96" s="194"/>
      <c r="C96" s="194"/>
      <c r="D96" s="15"/>
    </row>
    <row r="97" spans="1:4" ht="16.5" customHeight="1" thickBot="1" x14ac:dyDescent="0.3">
      <c r="A97" s="22"/>
      <c r="B97" s="15"/>
      <c r="C97" s="15"/>
      <c r="D97" s="15"/>
    </row>
    <row r="98" spans="1:4" ht="16.5" customHeight="1" thickBot="1" x14ac:dyDescent="0.3">
      <c r="A98" s="16" t="s">
        <v>106</v>
      </c>
      <c r="B98" s="17" t="s">
        <v>107</v>
      </c>
      <c r="C98" s="17" t="s">
        <v>55</v>
      </c>
      <c r="D98" s="15"/>
    </row>
    <row r="99" spans="1:4" ht="16.5" customHeight="1" thickBot="1" x14ac:dyDescent="0.3">
      <c r="A99" s="18" t="s">
        <v>32</v>
      </c>
      <c r="B99" s="19" t="s">
        <v>108</v>
      </c>
      <c r="C99" s="20">
        <f>(C35+C79+C91)*8.33%</f>
        <v>456.68619231715269</v>
      </c>
      <c r="D99" s="15"/>
    </row>
    <row r="100" spans="1:4" ht="16.5" customHeight="1" thickBot="1" x14ac:dyDescent="0.3">
      <c r="A100" s="18" t="s">
        <v>34</v>
      </c>
      <c r="B100" s="19" t="s">
        <v>109</v>
      </c>
      <c r="C100" s="20">
        <f>(C35+C79+C91)*2.22%</f>
        <v>121.7098855875245</v>
      </c>
      <c r="D100" s="15"/>
    </row>
    <row r="101" spans="1:4" ht="16.5" customHeight="1" thickBot="1" x14ac:dyDescent="0.3">
      <c r="A101" s="18" t="s">
        <v>37</v>
      </c>
      <c r="B101" s="19" t="s">
        <v>110</v>
      </c>
      <c r="C101" s="20">
        <f>(C35+C79+C91)*0.04%</f>
        <v>2.192970911486928</v>
      </c>
      <c r="D101" s="15"/>
    </row>
    <row r="102" spans="1:4" ht="16.5" customHeight="1" thickBot="1" x14ac:dyDescent="0.3">
      <c r="A102" s="18" t="s">
        <v>40</v>
      </c>
      <c r="B102" s="19" t="s">
        <v>111</v>
      </c>
      <c r="C102" s="20">
        <f>(C35+C79+C91)*0.02%</f>
        <v>1.096485455743464</v>
      </c>
      <c r="D102" s="15"/>
    </row>
    <row r="103" spans="1:4" ht="16.5" customHeight="1" thickBot="1" x14ac:dyDescent="0.3">
      <c r="A103" s="18" t="s">
        <v>42</v>
      </c>
      <c r="B103" s="19" t="s">
        <v>112</v>
      </c>
      <c r="C103" s="20">
        <f>(C35+C79+C91)*0.14%</f>
        <v>7.6753981902042483</v>
      </c>
      <c r="D103" s="15"/>
    </row>
    <row r="104" spans="1:4" ht="16.5" customHeight="1" thickBot="1" x14ac:dyDescent="0.3">
      <c r="A104" s="18" t="s">
        <v>79</v>
      </c>
      <c r="B104" s="19" t="s">
        <v>62</v>
      </c>
      <c r="C104" s="20"/>
      <c r="D104" s="15"/>
    </row>
    <row r="105" spans="1:4" ht="16.5" customHeight="1" thickBot="1" x14ac:dyDescent="0.3">
      <c r="A105" s="195" t="s">
        <v>84</v>
      </c>
      <c r="B105" s="196"/>
      <c r="C105" s="21">
        <f>SUM(C99:C104)</f>
        <v>589.3609324621118</v>
      </c>
      <c r="D105" s="15"/>
    </row>
    <row r="106" spans="1:4" ht="13.5" customHeight="1" x14ac:dyDescent="0.25">
      <c r="A106" s="15"/>
      <c r="B106" s="15"/>
      <c r="C106" s="15"/>
      <c r="D106" s="15"/>
    </row>
    <row r="107" spans="1:4" ht="13.5" customHeight="1" x14ac:dyDescent="0.25">
      <c r="A107" s="15"/>
      <c r="B107" s="15"/>
      <c r="C107" s="15"/>
      <c r="D107" s="15"/>
    </row>
    <row r="108" spans="1:4" ht="16.5" customHeight="1" x14ac:dyDescent="0.25">
      <c r="A108" s="194" t="s">
        <v>113</v>
      </c>
      <c r="B108" s="194"/>
      <c r="C108" s="194"/>
      <c r="D108" s="15"/>
    </row>
    <row r="109" spans="1:4" ht="16.5" customHeight="1" thickBot="1" x14ac:dyDescent="0.3">
      <c r="A109" s="22"/>
      <c r="B109" s="15"/>
      <c r="C109" s="15"/>
      <c r="D109" s="15"/>
    </row>
    <row r="110" spans="1:4" ht="16.5" customHeight="1" thickBot="1" x14ac:dyDescent="0.3">
      <c r="A110" s="16" t="s">
        <v>114</v>
      </c>
      <c r="B110" s="17" t="s">
        <v>115</v>
      </c>
      <c r="C110" s="17" t="s">
        <v>55</v>
      </c>
      <c r="D110" s="15"/>
    </row>
    <row r="111" spans="1:4" ht="16.5" customHeight="1" thickBot="1" x14ac:dyDescent="0.3">
      <c r="A111" s="18" t="s">
        <v>32</v>
      </c>
      <c r="B111" s="19" t="s">
        <v>116</v>
      </c>
      <c r="C111" s="20"/>
      <c r="D111" s="15"/>
    </row>
    <row r="112" spans="1:4" ht="16.5" customHeight="1" thickBot="1" x14ac:dyDescent="0.3">
      <c r="A112" s="195" t="s">
        <v>63</v>
      </c>
      <c r="B112" s="196"/>
      <c r="C112" s="21"/>
      <c r="D112" s="15"/>
    </row>
    <row r="113" spans="1:4" ht="12.75" customHeight="1" x14ac:dyDescent="0.25">
      <c r="A113" s="15"/>
      <c r="B113" s="15"/>
      <c r="C113" s="15"/>
      <c r="D113" s="15"/>
    </row>
    <row r="114" spans="1:4" ht="12.75" customHeight="1" x14ac:dyDescent="0.25">
      <c r="A114" s="15"/>
      <c r="B114" s="15"/>
      <c r="C114" s="15"/>
      <c r="D114" s="15"/>
    </row>
    <row r="115" spans="1:4" ht="16.5" customHeight="1" x14ac:dyDescent="0.25">
      <c r="A115" s="194" t="s">
        <v>117</v>
      </c>
      <c r="B115" s="194"/>
      <c r="C115" s="194"/>
      <c r="D115" s="15"/>
    </row>
    <row r="116" spans="1:4" ht="16.5" customHeight="1" thickBot="1" x14ac:dyDescent="0.3">
      <c r="A116" s="22"/>
      <c r="B116" s="15"/>
      <c r="C116" s="15"/>
      <c r="D116" s="15"/>
    </row>
    <row r="117" spans="1:4" ht="16.5" customHeight="1" thickBot="1" x14ac:dyDescent="0.3">
      <c r="A117" s="16">
        <v>4</v>
      </c>
      <c r="B117" s="17" t="s">
        <v>118</v>
      </c>
      <c r="C117" s="17" t="s">
        <v>55</v>
      </c>
      <c r="D117" s="15"/>
    </row>
    <row r="118" spans="1:4" ht="16.5" customHeight="1" thickBot="1" x14ac:dyDescent="0.3">
      <c r="A118" s="18" t="s">
        <v>106</v>
      </c>
      <c r="B118" s="19" t="s">
        <v>107</v>
      </c>
      <c r="C118" s="20">
        <f>C105</f>
        <v>589.3609324621118</v>
      </c>
      <c r="D118" s="15"/>
    </row>
    <row r="119" spans="1:4" ht="16.5" customHeight="1" thickBot="1" x14ac:dyDescent="0.3">
      <c r="A119" s="18" t="s">
        <v>114</v>
      </c>
      <c r="B119" s="19" t="s">
        <v>115</v>
      </c>
      <c r="C119" s="20"/>
      <c r="D119" s="15"/>
    </row>
    <row r="120" spans="1:4" ht="16.5" customHeight="1" thickBot="1" x14ac:dyDescent="0.3">
      <c r="A120" s="195" t="s">
        <v>63</v>
      </c>
      <c r="B120" s="196"/>
      <c r="C120" s="21">
        <f>SUM(C118:C119)</f>
        <v>589.3609324621118</v>
      </c>
      <c r="D120" s="15"/>
    </row>
    <row r="121" spans="1:4" ht="13.5" customHeight="1" x14ac:dyDescent="0.25">
      <c r="A121" s="15"/>
      <c r="B121" s="15"/>
      <c r="C121" s="15"/>
      <c r="D121" s="15"/>
    </row>
    <row r="122" spans="1:4" ht="13.5" customHeight="1" x14ac:dyDescent="0.25">
      <c r="A122" s="15"/>
      <c r="B122" s="15"/>
      <c r="C122" s="15"/>
      <c r="D122" s="15"/>
    </row>
    <row r="123" spans="1:4" ht="16.5" customHeight="1" x14ac:dyDescent="0.25">
      <c r="A123" s="198" t="s">
        <v>119</v>
      </c>
      <c r="B123" s="198"/>
      <c r="C123" s="198"/>
      <c r="D123" s="15"/>
    </row>
    <row r="124" spans="1:4" ht="16.5" customHeight="1" thickBot="1" x14ac:dyDescent="0.3">
      <c r="A124" s="15"/>
      <c r="B124" s="15"/>
      <c r="C124" s="15"/>
      <c r="D124" s="15"/>
    </row>
    <row r="125" spans="1:4" ht="16.5" customHeight="1" thickBot="1" x14ac:dyDescent="0.3">
      <c r="A125" s="46">
        <v>5</v>
      </c>
      <c r="B125" s="47" t="s">
        <v>120</v>
      </c>
      <c r="C125" s="48" t="s">
        <v>55</v>
      </c>
      <c r="D125" s="15"/>
    </row>
    <row r="126" spans="1:4" ht="16.5" customHeight="1" thickBot="1" x14ac:dyDescent="0.3">
      <c r="A126" s="18" t="s">
        <v>32</v>
      </c>
      <c r="B126" s="19" t="s">
        <v>121</v>
      </c>
      <c r="C126" s="20">
        <f>Uniformes!E25</f>
        <v>54.012888888888895</v>
      </c>
      <c r="D126" s="15"/>
    </row>
    <row r="127" spans="1:4" ht="16.5" customHeight="1" thickBot="1" x14ac:dyDescent="0.3">
      <c r="A127" s="18" t="s">
        <v>34</v>
      </c>
      <c r="B127" s="19" t="s">
        <v>122</v>
      </c>
      <c r="C127" s="20">
        <f>'Materiais de Consumo'!G300</f>
        <v>343.74177777777777</v>
      </c>
      <c r="D127" s="15"/>
    </row>
    <row r="128" spans="1:4" ht="16.5" customHeight="1" thickBot="1" x14ac:dyDescent="0.3">
      <c r="A128" s="18" t="s">
        <v>37</v>
      </c>
      <c r="B128" s="19" t="s">
        <v>123</v>
      </c>
      <c r="C128" s="20">
        <f>Equipamentos!F49</f>
        <v>8.2339361111111131</v>
      </c>
      <c r="D128" s="15"/>
    </row>
    <row r="129" spans="1:4" ht="16.5" customHeight="1" thickBot="1" x14ac:dyDescent="0.3">
      <c r="A129" s="18" t="s">
        <v>40</v>
      </c>
      <c r="B129" s="19" t="s">
        <v>62</v>
      </c>
      <c r="C129" s="20"/>
      <c r="D129" s="15"/>
    </row>
    <row r="130" spans="1:4" ht="16.5" customHeight="1" thickBot="1" x14ac:dyDescent="0.3">
      <c r="A130" s="201" t="s">
        <v>84</v>
      </c>
      <c r="B130" s="202"/>
      <c r="C130" s="54">
        <f>SUM(C126:C129)</f>
        <v>405.98860277777777</v>
      </c>
      <c r="D130" s="15"/>
    </row>
    <row r="131" spans="1:4" ht="13.5" customHeight="1" x14ac:dyDescent="0.25">
      <c r="A131" s="15"/>
      <c r="B131" s="15"/>
      <c r="C131" s="15"/>
      <c r="D131" s="15"/>
    </row>
    <row r="132" spans="1:4" ht="13.5" customHeight="1" x14ac:dyDescent="0.25">
      <c r="A132" s="15"/>
      <c r="B132" s="15"/>
      <c r="C132" s="15"/>
      <c r="D132" s="15"/>
    </row>
    <row r="133" spans="1:4" ht="16.5" customHeight="1" x14ac:dyDescent="0.25">
      <c r="A133" s="198" t="s">
        <v>124</v>
      </c>
      <c r="B133" s="198"/>
      <c r="C133" s="198"/>
      <c r="D133" s="15"/>
    </row>
    <row r="134" spans="1:4" ht="16.5" customHeight="1" thickBot="1" x14ac:dyDescent="0.3">
      <c r="A134" s="15"/>
      <c r="B134" s="15"/>
      <c r="C134" s="15"/>
      <c r="D134" s="15"/>
    </row>
    <row r="135" spans="1:4" ht="16.5" customHeight="1" thickBot="1" x14ac:dyDescent="0.3">
      <c r="A135" s="16">
        <v>6</v>
      </c>
      <c r="B135" s="30" t="s">
        <v>125</v>
      </c>
      <c r="C135" s="17" t="s">
        <v>126</v>
      </c>
      <c r="D135" s="17" t="s">
        <v>55</v>
      </c>
    </row>
    <row r="136" spans="1:4" ht="16.5" customHeight="1" thickBot="1" x14ac:dyDescent="0.3">
      <c r="A136" s="18" t="s">
        <v>32</v>
      </c>
      <c r="B136" s="19" t="s">
        <v>127</v>
      </c>
      <c r="C136" s="23">
        <v>4.7300000000000002E-2</v>
      </c>
      <c r="D136" s="20">
        <f>(C35+C79+C91+C120+C130)*C136</f>
        <v>306.398843300176</v>
      </c>
    </row>
    <row r="137" spans="1:4" ht="15.75" thickBot="1" x14ac:dyDescent="0.3">
      <c r="A137" s="18" t="s">
        <v>34</v>
      </c>
      <c r="B137" s="19" t="s">
        <v>128</v>
      </c>
      <c r="C137" s="23">
        <v>3.9E-2</v>
      </c>
      <c r="D137" s="20">
        <f>(C35+C79+C91+C120+C130+D136)*C137</f>
        <v>264.58285063303799</v>
      </c>
    </row>
    <row r="138" spans="1:4" ht="15.75" thickBot="1" x14ac:dyDescent="0.3">
      <c r="A138" s="18" t="s">
        <v>37</v>
      </c>
      <c r="B138" s="19" t="s">
        <v>129</v>
      </c>
      <c r="C138" s="23">
        <f>SUM(C139:C141)</f>
        <v>8.6499999999999994E-2</v>
      </c>
      <c r="D138" s="20">
        <f>(C35+C79+C91+C120+C130+D136+D137)/(1-C138)*C138</f>
        <v>667.45222871649867</v>
      </c>
    </row>
    <row r="139" spans="1:4" ht="15.75" thickBot="1" x14ac:dyDescent="0.3">
      <c r="A139" s="18"/>
      <c r="B139" s="19" t="s">
        <v>130</v>
      </c>
      <c r="C139" s="23">
        <v>3.6499999999999998E-2</v>
      </c>
      <c r="D139" s="20"/>
    </row>
    <row r="140" spans="1:4" ht="15.75" thickBot="1" x14ac:dyDescent="0.3">
      <c r="A140" s="18"/>
      <c r="B140" s="19" t="s">
        <v>131</v>
      </c>
      <c r="C140" s="23"/>
      <c r="D140" s="20"/>
    </row>
    <row r="141" spans="1:4" ht="15.75" thickBot="1" x14ac:dyDescent="0.3">
      <c r="A141" s="18"/>
      <c r="B141" s="19" t="s">
        <v>132</v>
      </c>
      <c r="C141" s="23">
        <v>0.05</v>
      </c>
      <c r="D141" s="20"/>
    </row>
    <row r="142" spans="1:4" ht="16.5" thickBot="1" x14ac:dyDescent="0.3">
      <c r="A142" s="195" t="s">
        <v>84</v>
      </c>
      <c r="B142" s="196"/>
      <c r="C142" s="24">
        <f>SUM(C136:C138)</f>
        <v>0.17280000000000001</v>
      </c>
      <c r="D142" s="21">
        <f>SUM(D136:D138)</f>
        <v>1238.4339226497127</v>
      </c>
    </row>
    <row r="143" spans="1:4" ht="13.5" customHeight="1" x14ac:dyDescent="0.25">
      <c r="A143" s="15"/>
      <c r="B143" s="15"/>
      <c r="C143" s="15"/>
      <c r="D143" s="15"/>
    </row>
    <row r="144" spans="1:4" ht="13.5" customHeight="1" x14ac:dyDescent="0.25">
      <c r="A144" s="15"/>
      <c r="B144" s="15"/>
      <c r="C144" s="15"/>
      <c r="D144" s="15"/>
    </row>
    <row r="145" spans="1:4" ht="15.75" x14ac:dyDescent="0.25">
      <c r="A145" s="198" t="s">
        <v>133</v>
      </c>
      <c r="B145" s="198"/>
      <c r="C145" s="198"/>
      <c r="D145" s="15"/>
    </row>
    <row r="146" spans="1:4" ht="16.5" thickBot="1" x14ac:dyDescent="0.3">
      <c r="A146" s="15"/>
      <c r="B146" s="15"/>
      <c r="C146" s="15"/>
      <c r="D146" s="15"/>
    </row>
    <row r="147" spans="1:4" ht="32.25" thickBot="1" x14ac:dyDescent="0.3">
      <c r="A147" s="16"/>
      <c r="B147" s="17" t="s">
        <v>134</v>
      </c>
      <c r="C147" s="17" t="s">
        <v>55</v>
      </c>
      <c r="D147" s="15"/>
    </row>
    <row r="148" spans="1:4" ht="16.5" thickBot="1" x14ac:dyDescent="0.3">
      <c r="A148" s="31" t="s">
        <v>32</v>
      </c>
      <c r="B148" s="19" t="s">
        <v>53</v>
      </c>
      <c r="C148" s="32">
        <f>C35</f>
        <v>2833.5</v>
      </c>
      <c r="D148" s="15"/>
    </row>
    <row r="149" spans="1:4" ht="16.5" thickBot="1" x14ac:dyDescent="0.3">
      <c r="A149" s="31" t="s">
        <v>34</v>
      </c>
      <c r="B149" s="19" t="s">
        <v>64</v>
      </c>
      <c r="C149" s="32">
        <f>C79</f>
        <v>2564.8069307999999</v>
      </c>
      <c r="D149" s="15"/>
    </row>
    <row r="150" spans="1:4" ht="16.5" thickBot="1" x14ac:dyDescent="0.3">
      <c r="A150" s="31" t="s">
        <v>37</v>
      </c>
      <c r="B150" s="19" t="s">
        <v>96</v>
      </c>
      <c r="C150" s="32">
        <f>C91</f>
        <v>84.12034791731999</v>
      </c>
      <c r="D150" s="15"/>
    </row>
    <row r="151" spans="1:4" ht="16.5" thickBot="1" x14ac:dyDescent="0.3">
      <c r="A151" s="31" t="s">
        <v>40</v>
      </c>
      <c r="B151" s="19" t="s">
        <v>104</v>
      </c>
      <c r="C151" s="32">
        <f>C120</f>
        <v>589.3609324621118</v>
      </c>
      <c r="D151" s="15"/>
    </row>
    <row r="152" spans="1:4" ht="16.5" thickBot="1" x14ac:dyDescent="0.3">
      <c r="A152" s="31" t="s">
        <v>42</v>
      </c>
      <c r="B152" s="19" t="s">
        <v>119</v>
      </c>
      <c r="C152" s="32">
        <f>C130</f>
        <v>405.98860277777777</v>
      </c>
      <c r="D152" s="15"/>
    </row>
    <row r="153" spans="1:4" ht="16.5" thickBot="1" x14ac:dyDescent="0.3">
      <c r="A153" s="195" t="s">
        <v>135</v>
      </c>
      <c r="B153" s="196"/>
      <c r="C153" s="33">
        <f>SUM(C148:C152)</f>
        <v>6477.776813957209</v>
      </c>
      <c r="D153" s="15"/>
    </row>
    <row r="154" spans="1:4" ht="16.5" thickBot="1" x14ac:dyDescent="0.3">
      <c r="A154" s="31" t="s">
        <v>79</v>
      </c>
      <c r="B154" s="19" t="s">
        <v>136</v>
      </c>
      <c r="C154" s="32">
        <f>D142</f>
        <v>1238.4339226497127</v>
      </c>
      <c r="D154" s="15"/>
    </row>
    <row r="155" spans="1:4" ht="16.5" thickBot="1" x14ac:dyDescent="0.3">
      <c r="A155" s="195" t="s">
        <v>137</v>
      </c>
      <c r="B155" s="196"/>
      <c r="C155" s="127">
        <f>SUM(C153:C154)</f>
        <v>7716.2107366069213</v>
      </c>
      <c r="D155" s="15"/>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8" fitToHeight="0" orientation="portrait" horizontalDpi="300" verticalDpi="300" r:id="rId1"/>
  <headerFooter>
    <oddHeader>&amp;C&amp;"Arial,Negrito"&amp;14&amp;UPLANILHA DE CUSTO - ENCARREGADO DE SEGUNDA À SEXTA-FEIRA - ITEM 3</oddHeader>
  </headerFooter>
  <rowBreaks count="2" manualBreakCount="2">
    <brk id="47" max="16383" man="1"/>
    <brk id="10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55"/>
  <sheetViews>
    <sheetView showGridLines="0" zoomScaleNormal="100" workbookViewId="0">
      <selection activeCell="B9" sqref="B9"/>
    </sheetView>
  </sheetViews>
  <sheetFormatPr defaultRowHeight="15" x14ac:dyDescent="0.25"/>
  <cols>
    <col min="2" max="2" width="72.140625" customWidth="1"/>
    <col min="3" max="3" width="21.140625" customWidth="1"/>
    <col min="4" max="4" width="18.42578125" customWidth="1"/>
  </cols>
  <sheetData>
    <row r="1" spans="1:4" ht="23.25" x14ac:dyDescent="0.35">
      <c r="A1" s="200" t="s">
        <v>26</v>
      </c>
      <c r="B1" s="200"/>
      <c r="C1" s="200"/>
      <c r="D1" s="200"/>
    </row>
    <row r="2" spans="1:4" ht="15.75" x14ac:dyDescent="0.25">
      <c r="A2" s="205" t="s">
        <v>27</v>
      </c>
      <c r="B2" s="205"/>
      <c r="C2" s="205"/>
      <c r="D2" s="205"/>
    </row>
    <row r="3" spans="1:4" ht="15.75" customHeight="1" x14ac:dyDescent="0.25">
      <c r="A3" s="15"/>
      <c r="B3" s="15"/>
      <c r="C3" s="15"/>
      <c r="D3" s="15"/>
    </row>
    <row r="4" spans="1:4" ht="18" customHeight="1" x14ac:dyDescent="0.25">
      <c r="A4" s="34"/>
      <c r="B4" s="35" t="s">
        <v>28</v>
      </c>
      <c r="C4" s="37" t="s">
        <v>29</v>
      </c>
      <c r="D4" s="15"/>
    </row>
    <row r="5" spans="1:4" ht="18" customHeight="1" x14ac:dyDescent="0.25">
      <c r="A5" s="34"/>
      <c r="B5" s="35" t="s">
        <v>30</v>
      </c>
      <c r="C5" s="36"/>
      <c r="D5" s="15"/>
    </row>
    <row r="6" spans="1:4" ht="16.5" customHeight="1" x14ac:dyDescent="0.25">
      <c r="A6" s="15"/>
      <c r="B6" s="15"/>
      <c r="C6" s="15"/>
      <c r="D6" s="15"/>
    </row>
    <row r="7" spans="1:4" ht="18.75" customHeight="1" x14ac:dyDescent="0.25">
      <c r="A7" s="198" t="s">
        <v>146</v>
      </c>
      <c r="B7" s="198"/>
      <c r="C7" s="198"/>
      <c r="D7" s="15"/>
    </row>
    <row r="8" spans="1:4" ht="16.5" customHeight="1" x14ac:dyDescent="0.25">
      <c r="A8" s="38"/>
      <c r="B8" s="38"/>
      <c r="C8" s="38"/>
      <c r="D8" s="15"/>
    </row>
    <row r="9" spans="1:4" ht="16.5" customHeight="1" x14ac:dyDescent="0.25">
      <c r="A9" s="37" t="s">
        <v>32</v>
      </c>
      <c r="B9" s="39" t="s">
        <v>33</v>
      </c>
      <c r="C9" s="37"/>
      <c r="D9" s="15"/>
    </row>
    <row r="10" spans="1:4" ht="16.5" customHeight="1" x14ac:dyDescent="0.25">
      <c r="A10" s="37" t="s">
        <v>34</v>
      </c>
      <c r="B10" s="39" t="s">
        <v>35</v>
      </c>
      <c r="C10" s="37" t="s">
        <v>36</v>
      </c>
      <c r="D10" s="15"/>
    </row>
    <row r="11" spans="1:4" ht="36.75" customHeight="1" x14ac:dyDescent="0.25">
      <c r="A11" s="37" t="s">
        <v>37</v>
      </c>
      <c r="B11" s="39" t="s">
        <v>38</v>
      </c>
      <c r="C11" s="43"/>
      <c r="D11" s="15"/>
    </row>
    <row r="12" spans="1:4" ht="16.5" customHeight="1" x14ac:dyDescent="0.25">
      <c r="A12" s="37" t="s">
        <v>40</v>
      </c>
      <c r="B12" s="39" t="s">
        <v>41</v>
      </c>
      <c r="C12" s="37"/>
      <c r="D12" s="15"/>
    </row>
    <row r="13" spans="1:4" ht="15.75" x14ac:dyDescent="0.25">
      <c r="A13" s="37" t="s">
        <v>42</v>
      </c>
      <c r="B13" s="122" t="s">
        <v>152</v>
      </c>
      <c r="C13" s="105"/>
      <c r="D13" s="15"/>
    </row>
    <row r="14" spans="1:4" ht="13.5" customHeight="1" x14ac:dyDescent="0.25">
      <c r="A14" s="15"/>
      <c r="B14" s="15"/>
      <c r="C14" s="15"/>
      <c r="D14" s="15"/>
    </row>
    <row r="15" spans="1:4" ht="13.5" customHeight="1" x14ac:dyDescent="0.25">
      <c r="A15" s="45"/>
      <c r="B15" s="45"/>
      <c r="C15" s="15"/>
      <c r="D15" s="15"/>
    </row>
    <row r="16" spans="1:4" ht="18.75" customHeight="1" x14ac:dyDescent="0.25">
      <c r="A16" s="198" t="s">
        <v>44</v>
      </c>
      <c r="B16" s="198"/>
      <c r="C16" s="198"/>
      <c r="D16" s="15"/>
    </row>
    <row r="17" spans="1:4" ht="16.5" customHeight="1" x14ac:dyDescent="0.25">
      <c r="A17" s="15"/>
      <c r="B17" s="15"/>
      <c r="C17" s="15"/>
      <c r="D17" s="15"/>
    </row>
    <row r="18" spans="1:4" ht="16.5" customHeight="1" x14ac:dyDescent="0.25">
      <c r="A18" s="199" t="s">
        <v>45</v>
      </c>
      <c r="B18" s="199"/>
      <c r="C18" s="199"/>
      <c r="D18" s="15"/>
    </row>
    <row r="19" spans="1:4" ht="16.5" customHeight="1" x14ac:dyDescent="0.25">
      <c r="A19" s="40"/>
      <c r="B19" s="40"/>
      <c r="C19" s="40"/>
      <c r="D19" s="15"/>
    </row>
    <row r="20" spans="1:4" ht="30" x14ac:dyDescent="0.25">
      <c r="A20" s="41">
        <v>1</v>
      </c>
      <c r="B20" s="42" t="s">
        <v>46</v>
      </c>
      <c r="C20" s="43" t="s">
        <v>47</v>
      </c>
      <c r="D20" s="15"/>
    </row>
    <row r="21" spans="1:4" ht="19.5" customHeight="1" x14ac:dyDescent="0.25">
      <c r="A21" s="41">
        <v>2</v>
      </c>
      <c r="B21" s="42" t="s">
        <v>140</v>
      </c>
      <c r="C21" s="37"/>
      <c r="D21" s="15"/>
    </row>
    <row r="22" spans="1:4" ht="47.25" customHeight="1" x14ac:dyDescent="0.25">
      <c r="A22" s="41">
        <v>3</v>
      </c>
      <c r="B22" s="42" t="s">
        <v>50</v>
      </c>
      <c r="C22" s="43"/>
      <c r="D22" s="15"/>
    </row>
    <row r="23" spans="1:4" ht="16.5" customHeight="1" x14ac:dyDescent="0.25">
      <c r="A23" s="37">
        <v>4</v>
      </c>
      <c r="B23" s="42" t="s">
        <v>52</v>
      </c>
      <c r="C23" s="44"/>
      <c r="D23" s="15"/>
    </row>
    <row r="24" spans="1:4" ht="16.5" customHeight="1" x14ac:dyDescent="0.25">
      <c r="A24" s="15"/>
      <c r="B24" s="15"/>
      <c r="C24" s="15"/>
      <c r="D24" s="15"/>
    </row>
    <row r="25" spans="1:4" ht="16.5" customHeight="1" x14ac:dyDescent="0.25">
      <c r="A25" s="198" t="s">
        <v>53</v>
      </c>
      <c r="B25" s="198"/>
      <c r="C25" s="198"/>
      <c r="D25" s="15"/>
    </row>
    <row r="26" spans="1:4" ht="16.5" customHeight="1" thickBot="1" x14ac:dyDescent="0.3">
      <c r="A26" s="15"/>
      <c r="B26" s="15"/>
      <c r="C26" s="15"/>
      <c r="D26" s="15"/>
    </row>
    <row r="27" spans="1:4" ht="16.5" customHeight="1" thickBot="1" x14ac:dyDescent="0.3">
      <c r="A27" s="16">
        <v>1</v>
      </c>
      <c r="B27" s="17" t="s">
        <v>54</v>
      </c>
      <c r="C27" s="17" t="s">
        <v>55</v>
      </c>
      <c r="D27" s="15"/>
    </row>
    <row r="28" spans="1:4" ht="16.5" customHeight="1" thickBot="1" x14ac:dyDescent="0.3">
      <c r="A28" s="18" t="s">
        <v>32</v>
      </c>
      <c r="B28" s="19" t="s">
        <v>56</v>
      </c>
      <c r="C28" s="20"/>
      <c r="D28" s="15"/>
    </row>
    <row r="29" spans="1:4" ht="16.5" customHeight="1" thickBot="1" x14ac:dyDescent="0.3">
      <c r="A29" s="18" t="s">
        <v>34</v>
      </c>
      <c r="B29" s="19" t="s">
        <v>57</v>
      </c>
      <c r="C29" s="20"/>
      <c r="D29" s="15"/>
    </row>
    <row r="30" spans="1:4" ht="16.5" customHeight="1" thickBot="1" x14ac:dyDescent="0.3">
      <c r="A30" s="18" t="s">
        <v>37</v>
      </c>
      <c r="B30" s="19" t="s">
        <v>58</v>
      </c>
      <c r="C30" s="20"/>
      <c r="D30" s="15"/>
    </row>
    <row r="31" spans="1:4" ht="16.5" customHeight="1" thickBot="1" x14ac:dyDescent="0.3">
      <c r="A31" s="18" t="s">
        <v>40</v>
      </c>
      <c r="B31" s="19" t="s">
        <v>59</v>
      </c>
      <c r="C31" s="20"/>
      <c r="D31" s="15"/>
    </row>
    <row r="32" spans="1:4" ht="16.5" customHeight="1" thickBot="1" x14ac:dyDescent="0.3">
      <c r="A32" s="18" t="s">
        <v>42</v>
      </c>
      <c r="B32" s="19" t="s">
        <v>60</v>
      </c>
      <c r="C32" s="20"/>
      <c r="D32" s="15"/>
    </row>
    <row r="33" spans="1:4" ht="16.5" customHeight="1" thickBot="1" x14ac:dyDescent="0.3">
      <c r="A33" s="18"/>
      <c r="B33" s="19"/>
      <c r="C33" s="20"/>
      <c r="D33" s="15"/>
    </row>
    <row r="34" spans="1:4" ht="16.5" customHeight="1" thickBot="1" x14ac:dyDescent="0.3">
      <c r="A34" s="18" t="s">
        <v>61</v>
      </c>
      <c r="B34" s="19" t="s">
        <v>62</v>
      </c>
      <c r="C34" s="20"/>
      <c r="D34" s="15"/>
    </row>
    <row r="35" spans="1:4" ht="16.5" customHeight="1" thickBot="1" x14ac:dyDescent="0.3">
      <c r="A35" s="195" t="s">
        <v>63</v>
      </c>
      <c r="B35" s="196"/>
      <c r="C35" s="21">
        <f>SUM(C28:C34)</f>
        <v>0</v>
      </c>
      <c r="D35" s="15"/>
    </row>
    <row r="36" spans="1:4" ht="13.5" customHeight="1" x14ac:dyDescent="0.25">
      <c r="A36" s="15"/>
      <c r="B36" s="15"/>
      <c r="C36" s="15"/>
      <c r="D36" s="15"/>
    </row>
    <row r="37" spans="1:4" ht="13.5" customHeight="1" x14ac:dyDescent="0.25">
      <c r="A37" s="15"/>
      <c r="B37" s="15"/>
      <c r="C37" s="15"/>
      <c r="D37" s="15"/>
    </row>
    <row r="38" spans="1:4" ht="16.5" customHeight="1" x14ac:dyDescent="0.25">
      <c r="A38" s="198" t="s">
        <v>64</v>
      </c>
      <c r="B38" s="198"/>
      <c r="C38" s="198"/>
      <c r="D38" s="15"/>
    </row>
    <row r="39" spans="1:4" ht="16.5" customHeight="1" x14ac:dyDescent="0.25">
      <c r="A39" s="22"/>
      <c r="B39" s="15"/>
      <c r="C39" s="15"/>
      <c r="D39" s="15"/>
    </row>
    <row r="40" spans="1:4" ht="16.5" customHeight="1" x14ac:dyDescent="0.25">
      <c r="A40" s="194" t="s">
        <v>65</v>
      </c>
      <c r="B40" s="194"/>
      <c r="C40" s="194"/>
      <c r="D40" s="15"/>
    </row>
    <row r="41" spans="1:4" ht="16.5" customHeight="1" thickBot="1" x14ac:dyDescent="0.3">
      <c r="A41" s="15"/>
      <c r="B41" s="15"/>
      <c r="C41" s="15"/>
      <c r="D41" s="15"/>
    </row>
    <row r="42" spans="1:4" ht="16.5" customHeight="1" thickBot="1" x14ac:dyDescent="0.3">
      <c r="A42" s="16" t="s">
        <v>66</v>
      </c>
      <c r="B42" s="17" t="s">
        <v>67</v>
      </c>
      <c r="C42" s="17" t="s">
        <v>55</v>
      </c>
      <c r="D42" s="15"/>
    </row>
    <row r="43" spans="1:4" ht="16.5" customHeight="1" thickBot="1" x14ac:dyDescent="0.3">
      <c r="A43" s="18" t="s">
        <v>32</v>
      </c>
      <c r="B43" s="19" t="s">
        <v>68</v>
      </c>
      <c r="C43" s="20"/>
      <c r="D43" s="15"/>
    </row>
    <row r="44" spans="1:4" ht="16.5" customHeight="1" thickBot="1" x14ac:dyDescent="0.3">
      <c r="A44" s="18" t="s">
        <v>34</v>
      </c>
      <c r="B44" s="19" t="s">
        <v>69</v>
      </c>
      <c r="C44" s="20"/>
      <c r="D44" s="15"/>
    </row>
    <row r="45" spans="1:4" ht="16.5" customHeight="1" thickBot="1" x14ac:dyDescent="0.3">
      <c r="A45" s="195" t="s">
        <v>63</v>
      </c>
      <c r="B45" s="196"/>
      <c r="C45" s="21">
        <f>SUM(C43:C44)</f>
        <v>0</v>
      </c>
      <c r="D45" s="15"/>
    </row>
    <row r="46" spans="1:4" ht="12.75" customHeight="1" x14ac:dyDescent="0.25">
      <c r="A46" s="15"/>
      <c r="B46" s="15"/>
      <c r="C46" s="15"/>
      <c r="D46" s="15"/>
    </row>
    <row r="47" spans="1:4" ht="12.75" customHeight="1" x14ac:dyDescent="0.25">
      <c r="A47" s="15"/>
      <c r="B47" s="15"/>
      <c r="C47" s="15"/>
      <c r="D47" s="15"/>
    </row>
    <row r="48" spans="1:4" ht="16.5" customHeight="1" x14ac:dyDescent="0.25">
      <c r="A48" s="197" t="s">
        <v>70</v>
      </c>
      <c r="B48" s="197"/>
      <c r="C48" s="197"/>
      <c r="D48" s="197"/>
    </row>
    <row r="49" spans="1:4" ht="16.5" customHeight="1" thickBot="1" x14ac:dyDescent="0.3">
      <c r="A49" s="15"/>
      <c r="B49" s="15"/>
      <c r="C49" s="15"/>
      <c r="D49" s="15"/>
    </row>
    <row r="50" spans="1:4" ht="16.5" customHeight="1" thickBot="1" x14ac:dyDescent="0.3">
      <c r="A50" s="16" t="s">
        <v>71</v>
      </c>
      <c r="B50" s="17" t="s">
        <v>72</v>
      </c>
      <c r="C50" s="17" t="s">
        <v>73</v>
      </c>
      <c r="D50" s="17" t="s">
        <v>55</v>
      </c>
    </row>
    <row r="51" spans="1:4" ht="16.5" customHeight="1" thickBot="1" x14ac:dyDescent="0.3">
      <c r="A51" s="18" t="s">
        <v>32</v>
      </c>
      <c r="B51" s="19" t="s">
        <v>74</v>
      </c>
      <c r="C51" s="23"/>
      <c r="D51" s="20"/>
    </row>
    <row r="52" spans="1:4" ht="16.5" customHeight="1" thickBot="1" x14ac:dyDescent="0.3">
      <c r="A52" s="18" t="s">
        <v>34</v>
      </c>
      <c r="B52" s="19" t="s">
        <v>75</v>
      </c>
      <c r="C52" s="23"/>
      <c r="D52" s="20"/>
    </row>
    <row r="53" spans="1:4" ht="16.5" customHeight="1" thickBot="1" x14ac:dyDescent="0.3">
      <c r="A53" s="18" t="s">
        <v>37</v>
      </c>
      <c r="B53" s="19" t="s">
        <v>76</v>
      </c>
      <c r="C53" s="23"/>
      <c r="D53" s="20"/>
    </row>
    <row r="54" spans="1:4" ht="16.5" customHeight="1" thickBot="1" x14ac:dyDescent="0.3">
      <c r="A54" s="18" t="s">
        <v>40</v>
      </c>
      <c r="B54" s="19" t="s">
        <v>77</v>
      </c>
      <c r="C54" s="23"/>
      <c r="D54" s="20"/>
    </row>
    <row r="55" spans="1:4" ht="16.5" customHeight="1" thickBot="1" x14ac:dyDescent="0.3">
      <c r="A55" s="18" t="s">
        <v>42</v>
      </c>
      <c r="B55" s="19" t="s">
        <v>78</v>
      </c>
      <c r="C55" s="23"/>
      <c r="D55" s="20"/>
    </row>
    <row r="56" spans="1:4" ht="16.5" customHeight="1" thickBot="1" x14ac:dyDescent="0.3">
      <c r="A56" s="18" t="s">
        <v>79</v>
      </c>
      <c r="B56" s="19" t="s">
        <v>80</v>
      </c>
      <c r="C56" s="23"/>
      <c r="D56" s="20"/>
    </row>
    <row r="57" spans="1:4" ht="16.5" customHeight="1" thickBot="1" x14ac:dyDescent="0.3">
      <c r="A57" s="18" t="s">
        <v>61</v>
      </c>
      <c r="B57" s="19" t="s">
        <v>81</v>
      </c>
      <c r="C57" s="23"/>
      <c r="D57" s="20"/>
    </row>
    <row r="58" spans="1:4" ht="16.5" customHeight="1" thickBot="1" x14ac:dyDescent="0.3">
      <c r="A58" s="18" t="s">
        <v>82</v>
      </c>
      <c r="B58" s="19" t="s">
        <v>83</v>
      </c>
      <c r="C58" s="23"/>
      <c r="D58" s="20"/>
    </row>
    <row r="59" spans="1:4" ht="16.5" customHeight="1" thickBot="1" x14ac:dyDescent="0.3">
      <c r="A59" s="195" t="s">
        <v>84</v>
      </c>
      <c r="B59" s="196"/>
      <c r="C59" s="24">
        <f>SUM(C51:C58)</f>
        <v>0</v>
      </c>
      <c r="D59" s="21">
        <f>SUM(D51:D58)</f>
        <v>0</v>
      </c>
    </row>
    <row r="60" spans="1:4" ht="12.75" customHeight="1" x14ac:dyDescent="0.25">
      <c r="A60" s="15"/>
      <c r="B60" s="15"/>
      <c r="C60" s="15"/>
      <c r="D60" s="15"/>
    </row>
    <row r="61" spans="1:4" ht="12.75" customHeight="1" x14ac:dyDescent="0.25">
      <c r="A61" s="15"/>
      <c r="B61" s="15"/>
      <c r="C61" s="15"/>
      <c r="D61" s="15"/>
    </row>
    <row r="62" spans="1:4" ht="16.5" customHeight="1" x14ac:dyDescent="0.25">
      <c r="A62" s="194" t="s">
        <v>85</v>
      </c>
      <c r="B62" s="194"/>
      <c r="C62" s="194"/>
      <c r="D62" s="15"/>
    </row>
    <row r="63" spans="1:4" ht="16.5" customHeight="1" thickBot="1" x14ac:dyDescent="0.3">
      <c r="A63" s="15"/>
      <c r="B63" s="15"/>
      <c r="C63" s="15"/>
      <c r="D63" s="15"/>
    </row>
    <row r="64" spans="1:4" ht="16.5" customHeight="1" thickBot="1" x14ac:dyDescent="0.3">
      <c r="A64" s="16" t="s">
        <v>86</v>
      </c>
      <c r="B64" s="17" t="s">
        <v>87</v>
      </c>
      <c r="C64" s="17" t="s">
        <v>55</v>
      </c>
      <c r="D64" s="15"/>
    </row>
    <row r="65" spans="1:4" ht="16.5" customHeight="1" thickBot="1" x14ac:dyDescent="0.3">
      <c r="A65" s="18" t="s">
        <v>32</v>
      </c>
      <c r="B65" s="19" t="s">
        <v>88</v>
      </c>
      <c r="C65" s="20"/>
      <c r="D65" s="106"/>
    </row>
    <row r="66" spans="1:4" ht="16.5" customHeight="1" thickBot="1" x14ac:dyDescent="0.3">
      <c r="A66" s="18" t="s">
        <v>34</v>
      </c>
      <c r="B66" s="19" t="s">
        <v>89</v>
      </c>
      <c r="C66" s="20"/>
      <c r="D66" s="106"/>
    </row>
    <row r="67" spans="1:4" ht="16.5" customHeight="1" thickBot="1" x14ac:dyDescent="0.3">
      <c r="A67" s="18" t="s">
        <v>37</v>
      </c>
      <c r="B67" s="19" t="s">
        <v>90</v>
      </c>
      <c r="C67" s="20"/>
      <c r="D67" s="15"/>
    </row>
    <row r="68" spans="1:4" ht="16.5" customHeight="1" thickBot="1" x14ac:dyDescent="0.3">
      <c r="A68" s="18" t="s">
        <v>40</v>
      </c>
      <c r="B68" s="19" t="s">
        <v>91</v>
      </c>
      <c r="C68" s="20"/>
      <c r="D68" s="15"/>
    </row>
    <row r="69" spans="1:4" ht="16.5" customHeight="1" thickBot="1" x14ac:dyDescent="0.3">
      <c r="A69" s="18" t="s">
        <v>42</v>
      </c>
      <c r="B69" s="19" t="s">
        <v>92</v>
      </c>
      <c r="C69" s="20"/>
      <c r="D69" s="15"/>
    </row>
    <row r="70" spans="1:4" ht="16.5" customHeight="1" thickBot="1" x14ac:dyDescent="0.3">
      <c r="A70" s="195" t="s">
        <v>63</v>
      </c>
      <c r="B70" s="196"/>
      <c r="C70" s="21">
        <f>SUM(C65:C69)</f>
        <v>0</v>
      </c>
      <c r="D70" s="15"/>
    </row>
    <row r="71" spans="1:4" ht="12" customHeight="1" x14ac:dyDescent="0.25">
      <c r="A71" s="15"/>
      <c r="B71" s="15"/>
      <c r="C71" s="15"/>
      <c r="D71" s="15"/>
    </row>
    <row r="72" spans="1:4" ht="12" customHeight="1" x14ac:dyDescent="0.25">
      <c r="A72" s="15"/>
      <c r="B72" s="15"/>
      <c r="C72" s="15"/>
      <c r="D72" s="15"/>
    </row>
    <row r="73" spans="1:4" ht="16.5" customHeight="1" x14ac:dyDescent="0.25">
      <c r="A73" s="194" t="s">
        <v>93</v>
      </c>
      <c r="B73" s="194"/>
      <c r="C73" s="194"/>
      <c r="D73" s="15"/>
    </row>
    <row r="74" spans="1:4" ht="16.5" customHeight="1" thickBot="1" x14ac:dyDescent="0.3">
      <c r="A74" s="15"/>
      <c r="B74" s="15"/>
      <c r="C74" s="15"/>
      <c r="D74" s="15"/>
    </row>
    <row r="75" spans="1:4" ht="16.5" customHeight="1" thickBot="1" x14ac:dyDescent="0.3">
      <c r="A75" s="16">
        <v>2</v>
      </c>
      <c r="B75" s="17" t="s">
        <v>94</v>
      </c>
      <c r="C75" s="17" t="s">
        <v>55</v>
      </c>
      <c r="D75" s="15"/>
    </row>
    <row r="76" spans="1:4" ht="16.5" customHeight="1" thickBot="1" x14ac:dyDescent="0.3">
      <c r="A76" s="18" t="s">
        <v>66</v>
      </c>
      <c r="B76" s="19" t="s">
        <v>95</v>
      </c>
      <c r="C76" s="20"/>
      <c r="D76" s="15"/>
    </row>
    <row r="77" spans="1:4" ht="16.5" customHeight="1" thickBot="1" x14ac:dyDescent="0.3">
      <c r="A77" s="18" t="s">
        <v>71</v>
      </c>
      <c r="B77" s="19" t="s">
        <v>72</v>
      </c>
      <c r="C77" s="20"/>
      <c r="D77" s="15"/>
    </row>
    <row r="78" spans="1:4" ht="16.5" customHeight="1" thickBot="1" x14ac:dyDescent="0.3">
      <c r="A78" s="18" t="s">
        <v>86</v>
      </c>
      <c r="B78" s="19" t="s">
        <v>87</v>
      </c>
      <c r="C78" s="20"/>
      <c r="D78" s="15"/>
    </row>
    <row r="79" spans="1:4" ht="16.5" customHeight="1" thickBot="1" x14ac:dyDescent="0.3">
      <c r="A79" s="195" t="s">
        <v>63</v>
      </c>
      <c r="B79" s="196"/>
      <c r="C79" s="21">
        <f>SUM(C76:C78)</f>
        <v>0</v>
      </c>
      <c r="D79" s="15"/>
    </row>
    <row r="80" spans="1:4" ht="12.75" customHeight="1" x14ac:dyDescent="0.25">
      <c r="A80" s="25"/>
      <c r="B80" s="15"/>
      <c r="C80" s="15"/>
      <c r="D80" s="15"/>
    </row>
    <row r="81" spans="1:4" ht="12.75" customHeight="1" x14ac:dyDescent="0.25">
      <c r="A81" s="15"/>
      <c r="B81" s="15"/>
      <c r="C81" s="15"/>
      <c r="D81" s="15"/>
    </row>
    <row r="82" spans="1:4" ht="16.5" customHeight="1" x14ac:dyDescent="0.25">
      <c r="A82" s="198" t="s">
        <v>96</v>
      </c>
      <c r="B82" s="198"/>
      <c r="C82" s="198"/>
      <c r="D82" s="15"/>
    </row>
    <row r="83" spans="1:4" ht="16.5" customHeight="1" thickBot="1" x14ac:dyDescent="0.3">
      <c r="A83" s="15"/>
      <c r="B83" s="15"/>
      <c r="C83" s="15"/>
      <c r="D83" s="15"/>
    </row>
    <row r="84" spans="1:4" ht="16.5" customHeight="1" thickBot="1" x14ac:dyDescent="0.3">
      <c r="A84" s="26">
        <v>3</v>
      </c>
      <c r="B84" s="27" t="s">
        <v>97</v>
      </c>
      <c r="C84" s="27" t="s">
        <v>55</v>
      </c>
      <c r="D84" s="15"/>
    </row>
    <row r="85" spans="1:4" ht="16.5" customHeight="1" thickBot="1" x14ac:dyDescent="0.3">
      <c r="A85" s="18" t="s">
        <v>32</v>
      </c>
      <c r="B85" s="28" t="s">
        <v>98</v>
      </c>
      <c r="C85" s="20"/>
      <c r="D85" s="15"/>
    </row>
    <row r="86" spans="1:4" ht="16.5" customHeight="1" thickBot="1" x14ac:dyDescent="0.3">
      <c r="A86" s="18" t="s">
        <v>34</v>
      </c>
      <c r="B86" s="28" t="s">
        <v>99</v>
      </c>
      <c r="C86" s="20"/>
      <c r="D86" s="15"/>
    </row>
    <row r="87" spans="1:4" ht="16.5" customHeight="1" thickBot="1" x14ac:dyDescent="0.3">
      <c r="A87" s="18" t="s">
        <v>37</v>
      </c>
      <c r="B87" s="28" t="s">
        <v>100</v>
      </c>
      <c r="C87" s="20"/>
      <c r="D87" s="15"/>
    </row>
    <row r="88" spans="1:4" ht="16.5" customHeight="1" thickBot="1" x14ac:dyDescent="0.3">
      <c r="A88" s="18" t="s">
        <v>40</v>
      </c>
      <c r="B88" s="28" t="s">
        <v>101</v>
      </c>
      <c r="C88" s="20"/>
      <c r="D88" s="15"/>
    </row>
    <row r="89" spans="1:4" ht="30.75" thickBot="1" x14ac:dyDescent="0.3">
      <c r="A89" s="18" t="s">
        <v>42</v>
      </c>
      <c r="B89" s="28" t="s">
        <v>102</v>
      </c>
      <c r="C89" s="20"/>
      <c r="D89" s="15"/>
    </row>
    <row r="90" spans="1:4" ht="16.5" customHeight="1" thickBot="1" x14ac:dyDescent="0.3">
      <c r="A90" s="18" t="s">
        <v>79</v>
      </c>
      <c r="B90" s="28" t="s">
        <v>103</v>
      </c>
      <c r="C90" s="20"/>
      <c r="D90" s="15"/>
    </row>
    <row r="91" spans="1:4" ht="16.5" customHeight="1" thickBot="1" x14ac:dyDescent="0.3">
      <c r="A91" s="203" t="s">
        <v>63</v>
      </c>
      <c r="B91" s="204"/>
      <c r="C91" s="29">
        <f>SUM(C85:C90)</f>
        <v>0</v>
      </c>
      <c r="D91" s="15"/>
    </row>
    <row r="92" spans="1:4" ht="13.5" customHeight="1" x14ac:dyDescent="0.25">
      <c r="A92" s="15"/>
      <c r="B92" s="15"/>
      <c r="C92" s="15"/>
      <c r="D92" s="15"/>
    </row>
    <row r="93" spans="1:4" ht="13.5" customHeight="1" x14ac:dyDescent="0.25">
      <c r="A93" s="15"/>
      <c r="B93" s="15"/>
      <c r="C93" s="15"/>
      <c r="D93" s="15"/>
    </row>
    <row r="94" spans="1:4" ht="16.5" customHeight="1" x14ac:dyDescent="0.25">
      <c r="A94" s="198" t="s">
        <v>104</v>
      </c>
      <c r="B94" s="198"/>
      <c r="C94" s="198"/>
      <c r="D94" s="15"/>
    </row>
    <row r="95" spans="1:4" ht="16.5" customHeight="1" x14ac:dyDescent="0.25">
      <c r="A95" s="15"/>
      <c r="B95" s="15"/>
      <c r="C95" s="15"/>
      <c r="D95" s="15"/>
    </row>
    <row r="96" spans="1:4" ht="16.5" customHeight="1" x14ac:dyDescent="0.25">
      <c r="A96" s="194" t="s">
        <v>105</v>
      </c>
      <c r="B96" s="194"/>
      <c r="C96" s="194"/>
      <c r="D96" s="15"/>
    </row>
    <row r="97" spans="1:4" ht="16.5" customHeight="1" thickBot="1" x14ac:dyDescent="0.3">
      <c r="A97" s="22"/>
      <c r="B97" s="15"/>
      <c r="C97" s="15"/>
      <c r="D97" s="15"/>
    </row>
    <row r="98" spans="1:4" ht="16.5" customHeight="1" thickBot="1" x14ac:dyDescent="0.3">
      <c r="A98" s="16" t="s">
        <v>106</v>
      </c>
      <c r="B98" s="17" t="s">
        <v>107</v>
      </c>
      <c r="C98" s="17" t="s">
        <v>55</v>
      </c>
      <c r="D98" s="15"/>
    </row>
    <row r="99" spans="1:4" ht="16.5" customHeight="1" thickBot="1" x14ac:dyDescent="0.3">
      <c r="A99" s="18" t="s">
        <v>32</v>
      </c>
      <c r="B99" s="19" t="s">
        <v>108</v>
      </c>
      <c r="C99" s="20"/>
      <c r="D99" s="15"/>
    </row>
    <row r="100" spans="1:4" ht="16.5" customHeight="1" thickBot="1" x14ac:dyDescent="0.3">
      <c r="A100" s="18" t="s">
        <v>34</v>
      </c>
      <c r="B100" s="19" t="s">
        <v>109</v>
      </c>
      <c r="C100" s="20"/>
      <c r="D100" s="15"/>
    </row>
    <row r="101" spans="1:4" ht="16.5" customHeight="1" thickBot="1" x14ac:dyDescent="0.3">
      <c r="A101" s="18" t="s">
        <v>37</v>
      </c>
      <c r="B101" s="19" t="s">
        <v>110</v>
      </c>
      <c r="C101" s="20"/>
      <c r="D101" s="15"/>
    </row>
    <row r="102" spans="1:4" ht="16.5" customHeight="1" thickBot="1" x14ac:dyDescent="0.3">
      <c r="A102" s="18" t="s">
        <v>40</v>
      </c>
      <c r="B102" s="19" t="s">
        <v>111</v>
      </c>
      <c r="C102" s="20"/>
      <c r="D102" s="15"/>
    </row>
    <row r="103" spans="1:4" ht="16.5" customHeight="1" thickBot="1" x14ac:dyDescent="0.3">
      <c r="A103" s="18" t="s">
        <v>42</v>
      </c>
      <c r="B103" s="19" t="s">
        <v>112</v>
      </c>
      <c r="C103" s="20"/>
      <c r="D103" s="15"/>
    </row>
    <row r="104" spans="1:4" ht="16.5" customHeight="1" thickBot="1" x14ac:dyDescent="0.3">
      <c r="A104" s="18" t="s">
        <v>79</v>
      </c>
      <c r="B104" s="19" t="s">
        <v>62</v>
      </c>
      <c r="C104" s="20"/>
      <c r="D104" s="15"/>
    </row>
    <row r="105" spans="1:4" ht="16.5" customHeight="1" thickBot="1" x14ac:dyDescent="0.3">
      <c r="A105" s="195" t="s">
        <v>84</v>
      </c>
      <c r="B105" s="196"/>
      <c r="C105" s="21">
        <f>SUM(C99:C104)</f>
        <v>0</v>
      </c>
      <c r="D105" s="15"/>
    </row>
    <row r="106" spans="1:4" ht="13.5" customHeight="1" x14ac:dyDescent="0.25">
      <c r="A106" s="15"/>
      <c r="B106" s="15"/>
      <c r="C106" s="15"/>
      <c r="D106" s="15"/>
    </row>
    <row r="107" spans="1:4" ht="13.5" customHeight="1" x14ac:dyDescent="0.25">
      <c r="A107" s="15"/>
      <c r="B107" s="15"/>
      <c r="C107" s="15"/>
      <c r="D107" s="15"/>
    </row>
    <row r="108" spans="1:4" ht="16.5" customHeight="1" x14ac:dyDescent="0.25">
      <c r="A108" s="194" t="s">
        <v>113</v>
      </c>
      <c r="B108" s="194"/>
      <c r="C108" s="194"/>
      <c r="D108" s="15"/>
    </row>
    <row r="109" spans="1:4" ht="16.5" customHeight="1" thickBot="1" x14ac:dyDescent="0.3">
      <c r="A109" s="22"/>
      <c r="B109" s="15"/>
      <c r="C109" s="15"/>
      <c r="D109" s="15"/>
    </row>
    <row r="110" spans="1:4" ht="16.5" customHeight="1" thickBot="1" x14ac:dyDescent="0.3">
      <c r="A110" s="16" t="s">
        <v>114</v>
      </c>
      <c r="B110" s="17" t="s">
        <v>115</v>
      </c>
      <c r="C110" s="17" t="s">
        <v>55</v>
      </c>
      <c r="D110" s="15"/>
    </row>
    <row r="111" spans="1:4" ht="16.5" customHeight="1" thickBot="1" x14ac:dyDescent="0.3">
      <c r="A111" s="18" t="s">
        <v>32</v>
      </c>
      <c r="B111" s="19" t="s">
        <v>116</v>
      </c>
      <c r="C111" s="20"/>
      <c r="D111" s="15"/>
    </row>
    <row r="112" spans="1:4" ht="16.5" customHeight="1" thickBot="1" x14ac:dyDescent="0.3">
      <c r="A112" s="195" t="s">
        <v>63</v>
      </c>
      <c r="B112" s="196"/>
      <c r="C112" s="21"/>
      <c r="D112" s="15"/>
    </row>
    <row r="113" spans="1:4" ht="12.75" customHeight="1" x14ac:dyDescent="0.25">
      <c r="A113" s="15"/>
      <c r="B113" s="15"/>
      <c r="C113" s="15"/>
      <c r="D113" s="15"/>
    </row>
    <row r="114" spans="1:4" ht="12.75" customHeight="1" x14ac:dyDescent="0.25">
      <c r="A114" s="15"/>
      <c r="B114" s="15"/>
      <c r="C114" s="15"/>
      <c r="D114" s="15"/>
    </row>
    <row r="115" spans="1:4" ht="16.5" customHeight="1" x14ac:dyDescent="0.25">
      <c r="A115" s="194" t="s">
        <v>117</v>
      </c>
      <c r="B115" s="194"/>
      <c r="C115" s="194"/>
      <c r="D115" s="15"/>
    </row>
    <row r="116" spans="1:4" ht="16.5" customHeight="1" thickBot="1" x14ac:dyDescent="0.3">
      <c r="A116" s="22"/>
      <c r="B116" s="15"/>
      <c r="C116" s="15"/>
      <c r="D116" s="15"/>
    </row>
    <row r="117" spans="1:4" ht="16.5" customHeight="1" thickBot="1" x14ac:dyDescent="0.3">
      <c r="A117" s="16">
        <v>4</v>
      </c>
      <c r="B117" s="17" t="s">
        <v>118</v>
      </c>
      <c r="C117" s="17" t="s">
        <v>55</v>
      </c>
      <c r="D117" s="15"/>
    </row>
    <row r="118" spans="1:4" ht="16.5" customHeight="1" thickBot="1" x14ac:dyDescent="0.3">
      <c r="A118" s="18" t="s">
        <v>106</v>
      </c>
      <c r="B118" s="19" t="s">
        <v>107</v>
      </c>
      <c r="C118" s="20"/>
      <c r="D118" s="15"/>
    </row>
    <row r="119" spans="1:4" ht="16.5" customHeight="1" thickBot="1" x14ac:dyDescent="0.3">
      <c r="A119" s="18" t="s">
        <v>114</v>
      </c>
      <c r="B119" s="19" t="s">
        <v>115</v>
      </c>
      <c r="C119" s="20"/>
      <c r="D119" s="15"/>
    </row>
    <row r="120" spans="1:4" ht="16.5" customHeight="1" thickBot="1" x14ac:dyDescent="0.3">
      <c r="A120" s="195" t="s">
        <v>63</v>
      </c>
      <c r="B120" s="196"/>
      <c r="C120" s="21">
        <f>SUM(C118:C119)</f>
        <v>0</v>
      </c>
      <c r="D120" s="15"/>
    </row>
    <row r="121" spans="1:4" ht="13.5" customHeight="1" x14ac:dyDescent="0.25">
      <c r="A121" s="15"/>
      <c r="B121" s="15"/>
      <c r="C121" s="15"/>
      <c r="D121" s="15"/>
    </row>
    <row r="122" spans="1:4" ht="13.5" customHeight="1" x14ac:dyDescent="0.25">
      <c r="A122" s="15"/>
      <c r="B122" s="15"/>
      <c r="C122" s="15"/>
      <c r="D122" s="15"/>
    </row>
    <row r="123" spans="1:4" ht="16.5" customHeight="1" x14ac:dyDescent="0.25">
      <c r="A123" s="198" t="s">
        <v>119</v>
      </c>
      <c r="B123" s="198"/>
      <c r="C123" s="198"/>
      <c r="D123" s="15"/>
    </row>
    <row r="124" spans="1:4" ht="16.5" customHeight="1" thickBot="1" x14ac:dyDescent="0.3">
      <c r="A124" s="15"/>
      <c r="B124" s="15"/>
      <c r="C124" s="15"/>
      <c r="D124" s="15"/>
    </row>
    <row r="125" spans="1:4" ht="16.5" customHeight="1" thickBot="1" x14ac:dyDescent="0.3">
      <c r="A125" s="46">
        <v>5</v>
      </c>
      <c r="B125" s="47" t="s">
        <v>120</v>
      </c>
      <c r="C125" s="48" t="s">
        <v>55</v>
      </c>
      <c r="D125" s="15"/>
    </row>
    <row r="126" spans="1:4" ht="16.5" customHeight="1" thickBot="1" x14ac:dyDescent="0.3">
      <c r="A126" s="18" t="s">
        <v>32</v>
      </c>
      <c r="B126" s="19" t="s">
        <v>121</v>
      </c>
      <c r="C126" s="20"/>
      <c r="D126" s="15"/>
    </row>
    <row r="127" spans="1:4" ht="16.5" customHeight="1" thickBot="1" x14ac:dyDescent="0.3">
      <c r="A127" s="18" t="s">
        <v>34</v>
      </c>
      <c r="B127" s="19" t="s">
        <v>122</v>
      </c>
      <c r="C127" s="20"/>
      <c r="D127" s="15"/>
    </row>
    <row r="128" spans="1:4" ht="16.5" customHeight="1" thickBot="1" x14ac:dyDescent="0.3">
      <c r="A128" s="18" t="s">
        <v>37</v>
      </c>
      <c r="B128" s="19" t="s">
        <v>123</v>
      </c>
      <c r="C128" s="20"/>
      <c r="D128" s="15"/>
    </row>
    <row r="129" spans="1:4" ht="16.5" customHeight="1" thickBot="1" x14ac:dyDescent="0.3">
      <c r="A129" s="18" t="s">
        <v>40</v>
      </c>
      <c r="B129" s="19" t="s">
        <v>62</v>
      </c>
      <c r="C129" s="20"/>
      <c r="D129" s="15"/>
    </row>
    <row r="130" spans="1:4" ht="16.5" customHeight="1" thickBot="1" x14ac:dyDescent="0.3">
      <c r="A130" s="201" t="s">
        <v>84</v>
      </c>
      <c r="B130" s="202"/>
      <c r="C130" s="54">
        <f>SUM(C126:C129)</f>
        <v>0</v>
      </c>
      <c r="D130" s="15"/>
    </row>
    <row r="131" spans="1:4" ht="13.5" customHeight="1" x14ac:dyDescent="0.25">
      <c r="A131" s="15"/>
      <c r="B131" s="15"/>
      <c r="C131" s="15"/>
      <c r="D131" s="15"/>
    </row>
    <row r="132" spans="1:4" ht="13.5" customHeight="1" x14ac:dyDescent="0.25">
      <c r="A132" s="15"/>
      <c r="B132" s="15"/>
      <c r="C132" s="15"/>
      <c r="D132" s="15"/>
    </row>
    <row r="133" spans="1:4" ht="16.5" customHeight="1" x14ac:dyDescent="0.25">
      <c r="A133" s="198" t="s">
        <v>124</v>
      </c>
      <c r="B133" s="198"/>
      <c r="C133" s="198"/>
      <c r="D133" s="15"/>
    </row>
    <row r="134" spans="1:4" ht="16.5" customHeight="1" thickBot="1" x14ac:dyDescent="0.3">
      <c r="A134" s="15"/>
      <c r="B134" s="15"/>
      <c r="C134" s="15"/>
      <c r="D134" s="15"/>
    </row>
    <row r="135" spans="1:4" ht="16.5" customHeight="1" thickBot="1" x14ac:dyDescent="0.3">
      <c r="A135" s="16">
        <v>6</v>
      </c>
      <c r="B135" s="30" t="s">
        <v>125</v>
      </c>
      <c r="C135" s="17" t="s">
        <v>126</v>
      </c>
      <c r="D135" s="17" t="s">
        <v>55</v>
      </c>
    </row>
    <row r="136" spans="1:4" ht="16.5" customHeight="1" thickBot="1" x14ac:dyDescent="0.3">
      <c r="A136" s="18" t="s">
        <v>32</v>
      </c>
      <c r="B136" s="19" t="s">
        <v>127</v>
      </c>
      <c r="C136" s="23"/>
      <c r="D136" s="20"/>
    </row>
    <row r="137" spans="1:4" ht="15.75" thickBot="1" x14ac:dyDescent="0.3">
      <c r="A137" s="18" t="s">
        <v>34</v>
      </c>
      <c r="B137" s="19" t="s">
        <v>128</v>
      </c>
      <c r="C137" s="23"/>
      <c r="D137" s="20"/>
    </row>
    <row r="138" spans="1:4" ht="15.75" thickBot="1" x14ac:dyDescent="0.3">
      <c r="A138" s="18" t="s">
        <v>37</v>
      </c>
      <c r="B138" s="19" t="s">
        <v>129</v>
      </c>
      <c r="C138" s="23"/>
      <c r="D138" s="20"/>
    </row>
    <row r="139" spans="1:4" ht="15.75" thickBot="1" x14ac:dyDescent="0.3">
      <c r="A139" s="18"/>
      <c r="B139" s="19" t="s">
        <v>130</v>
      </c>
      <c r="C139" s="23"/>
      <c r="D139" s="20"/>
    </row>
    <row r="140" spans="1:4" ht="15.75" thickBot="1" x14ac:dyDescent="0.3">
      <c r="A140" s="18"/>
      <c r="B140" s="19" t="s">
        <v>131</v>
      </c>
      <c r="C140" s="23"/>
      <c r="D140" s="20"/>
    </row>
    <row r="141" spans="1:4" ht="15.75" thickBot="1" x14ac:dyDescent="0.3">
      <c r="A141" s="18"/>
      <c r="B141" s="19" t="s">
        <v>132</v>
      </c>
      <c r="C141" s="23"/>
      <c r="D141" s="20"/>
    </row>
    <row r="142" spans="1:4" ht="16.5" thickBot="1" x14ac:dyDescent="0.3">
      <c r="A142" s="195" t="s">
        <v>84</v>
      </c>
      <c r="B142" s="196"/>
      <c r="C142" s="24">
        <f>SUM(C136:C138)</f>
        <v>0</v>
      </c>
      <c r="D142" s="21">
        <f>SUM(D136:D138)</f>
        <v>0</v>
      </c>
    </row>
    <row r="143" spans="1:4" ht="13.5" customHeight="1" x14ac:dyDescent="0.25">
      <c r="A143" s="15"/>
      <c r="B143" s="15"/>
      <c r="C143" s="15"/>
      <c r="D143" s="15"/>
    </row>
    <row r="144" spans="1:4" ht="13.5" customHeight="1" x14ac:dyDescent="0.25">
      <c r="A144" s="15"/>
      <c r="B144" s="15"/>
      <c r="C144" s="15"/>
      <c r="D144" s="15"/>
    </row>
    <row r="145" spans="1:4" ht="15.75" x14ac:dyDescent="0.25">
      <c r="A145" s="198" t="s">
        <v>133</v>
      </c>
      <c r="B145" s="198"/>
      <c r="C145" s="198"/>
      <c r="D145" s="15"/>
    </row>
    <row r="146" spans="1:4" ht="16.5" thickBot="1" x14ac:dyDescent="0.3">
      <c r="A146" s="15"/>
      <c r="B146" s="15"/>
      <c r="C146" s="15"/>
      <c r="D146" s="15"/>
    </row>
    <row r="147" spans="1:4" ht="32.25" thickBot="1" x14ac:dyDescent="0.3">
      <c r="A147" s="16"/>
      <c r="B147" s="17" t="s">
        <v>134</v>
      </c>
      <c r="C147" s="17" t="s">
        <v>55</v>
      </c>
      <c r="D147" s="15"/>
    </row>
    <row r="148" spans="1:4" ht="16.5" thickBot="1" x14ac:dyDescent="0.3">
      <c r="A148" s="31" t="s">
        <v>32</v>
      </c>
      <c r="B148" s="19" t="s">
        <v>53</v>
      </c>
      <c r="C148" s="32"/>
      <c r="D148" s="15"/>
    </row>
    <row r="149" spans="1:4" ht="16.5" thickBot="1" x14ac:dyDescent="0.3">
      <c r="A149" s="31" t="s">
        <v>34</v>
      </c>
      <c r="B149" s="19" t="s">
        <v>64</v>
      </c>
      <c r="C149" s="32"/>
      <c r="D149" s="15"/>
    </row>
    <row r="150" spans="1:4" ht="16.5" thickBot="1" x14ac:dyDescent="0.3">
      <c r="A150" s="31" t="s">
        <v>37</v>
      </c>
      <c r="B150" s="19" t="s">
        <v>96</v>
      </c>
      <c r="C150" s="32"/>
      <c r="D150" s="15"/>
    </row>
    <row r="151" spans="1:4" ht="16.5" thickBot="1" x14ac:dyDescent="0.3">
      <c r="A151" s="31" t="s">
        <v>40</v>
      </c>
      <c r="B151" s="19" t="s">
        <v>104</v>
      </c>
      <c r="C151" s="32"/>
      <c r="D151" s="15"/>
    </row>
    <row r="152" spans="1:4" ht="16.5" thickBot="1" x14ac:dyDescent="0.3">
      <c r="A152" s="31" t="s">
        <v>42</v>
      </c>
      <c r="B152" s="19" t="s">
        <v>119</v>
      </c>
      <c r="C152" s="32"/>
      <c r="D152" s="15"/>
    </row>
    <row r="153" spans="1:4" ht="16.5" thickBot="1" x14ac:dyDescent="0.3">
      <c r="A153" s="195" t="s">
        <v>135</v>
      </c>
      <c r="B153" s="196"/>
      <c r="C153" s="33">
        <f>SUM(C148:C152)</f>
        <v>0</v>
      </c>
      <c r="D153" s="15"/>
    </row>
    <row r="154" spans="1:4" ht="16.5" thickBot="1" x14ac:dyDescent="0.3">
      <c r="A154" s="31" t="s">
        <v>79</v>
      </c>
      <c r="B154" s="19" t="s">
        <v>136</v>
      </c>
      <c r="C154" s="32"/>
      <c r="D154" s="15"/>
    </row>
    <row r="155" spans="1:4" ht="16.5" thickBot="1" x14ac:dyDescent="0.3">
      <c r="A155" s="195" t="s">
        <v>137</v>
      </c>
      <c r="B155" s="196"/>
      <c r="C155" s="127">
        <f>SUM(C153:C154)</f>
        <v>0</v>
      </c>
      <c r="D155" s="15"/>
    </row>
  </sheetData>
  <mergeCells count="32">
    <mergeCell ref="A153:B153"/>
    <mergeCell ref="A155:B155"/>
    <mergeCell ref="A120:B120"/>
    <mergeCell ref="A123:C123"/>
    <mergeCell ref="A130:B130"/>
    <mergeCell ref="A133:C133"/>
    <mergeCell ref="A142:B142"/>
    <mergeCell ref="A145:C145"/>
    <mergeCell ref="A115:C115"/>
    <mergeCell ref="A62:C62"/>
    <mergeCell ref="A70:B70"/>
    <mergeCell ref="A73:C73"/>
    <mergeCell ref="A79:B79"/>
    <mergeCell ref="A82:C82"/>
    <mergeCell ref="A91:B91"/>
    <mergeCell ref="A94:C94"/>
    <mergeCell ref="A96:C96"/>
    <mergeCell ref="A105:B105"/>
    <mergeCell ref="A108:C108"/>
    <mergeCell ref="A112:B112"/>
    <mergeCell ref="A59:B59"/>
    <mergeCell ref="A1:D1"/>
    <mergeCell ref="A2:D2"/>
    <mergeCell ref="A7:C7"/>
    <mergeCell ref="A16:C16"/>
    <mergeCell ref="A18:C18"/>
    <mergeCell ref="A25:C25"/>
    <mergeCell ref="A35:B35"/>
    <mergeCell ref="A38:C38"/>
    <mergeCell ref="A40:C40"/>
    <mergeCell ref="A45:B45"/>
    <mergeCell ref="A48:D48"/>
  </mergeCells>
  <printOptions horizontalCentered="1"/>
  <pageMargins left="0.51181102362204722" right="0.51181102362204722" top="0.59055118110236227" bottom="0.39370078740157483" header="0.31496062992125984" footer="0.31496062992125984"/>
  <pageSetup paperSize="9" scale="76" fitToHeight="0" orientation="portrait" horizontalDpi="300" verticalDpi="300" r:id="rId1"/>
  <headerFooter>
    <oddHeader>&amp;C&amp;"Arial,Negrito"&amp;14&amp;UMODELO - PLANILHA DE CUSTO POR EMPREGADO</oddHeader>
  </headerFooter>
  <rowBreaks count="2" manualBreakCount="2">
    <brk id="47" max="16383" man="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24</vt:i4>
      </vt:variant>
    </vt:vector>
  </HeadingPairs>
  <TitlesOfParts>
    <vt:vector size="24" baseType="lpstr">
      <vt:lpstr>Quadro Resumo Valor Serviço</vt:lpstr>
      <vt:lpstr>Custo Servente SEG-DOM - ITEM 1</vt:lpstr>
      <vt:lpstr>Custo Encarreg SEG-DOM - ITEM 1</vt:lpstr>
      <vt:lpstr>Custo Servente SEG-SEX - ITEM 2</vt:lpstr>
      <vt:lpstr>Custo Encarreg SEG-SEX - ITEM 2</vt:lpstr>
      <vt:lpstr>Custo Servente SEG-SEX - ITEM 3</vt:lpstr>
      <vt:lpstr>Custo Serv SEG-SEX INS - ITEM 3</vt:lpstr>
      <vt:lpstr>Custo Encarreg SEG-SEX - ITEM 3</vt:lpstr>
      <vt:lpstr>Modelo Planilha - Proposta</vt:lpstr>
      <vt:lpstr>Memória Cálc. - Serv-Encarreg</vt:lpstr>
      <vt:lpstr>Materiais de Consumo</vt:lpstr>
      <vt:lpstr>Equipamentos</vt:lpstr>
      <vt:lpstr>Uniformes</vt:lpstr>
      <vt:lpstr>PRODUTIVIDADE IN 05-2017</vt:lpstr>
      <vt:lpstr>QTD SERVENTE - ITEM 1</vt:lpstr>
      <vt:lpstr>QTD SERVENTE ITEM 1 - PROD. MAX</vt:lpstr>
      <vt:lpstr>QTD SERVENTE - ITEM 2</vt:lpstr>
      <vt:lpstr>QTD SERVENTE ITEM 2 - PROD. MAX</vt:lpstr>
      <vt:lpstr>QTD SERVENTE - ITEM 3</vt:lpstr>
      <vt:lpstr>QTD SERVENTE ITEM 3 - PROD. MAX</vt:lpstr>
      <vt:lpstr>QTD TOTAL SERVENTE-ENCARREGADO</vt:lpstr>
      <vt:lpstr>VALOR POR METRO QUADRADO</vt:lpstr>
      <vt:lpstr>CÁLCULO TRANSPORTE-ALIMENTAÇÃO</vt:lpstr>
      <vt:lpstr>LISTA DE IMPERFEIÇÕES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Arcangela Silva Casagrande</dc:creator>
  <cp:keywords/>
  <dc:description/>
  <cp:lastModifiedBy>Leal Junior</cp:lastModifiedBy>
  <cp:revision/>
  <cp:lastPrinted>2022-08-11T15:41:17Z</cp:lastPrinted>
  <dcterms:created xsi:type="dcterms:W3CDTF">2018-01-23T19:35:16Z</dcterms:created>
  <dcterms:modified xsi:type="dcterms:W3CDTF">2022-08-11T15:41:20Z</dcterms:modified>
  <cp:category/>
  <cp:contentStatus/>
</cp:coreProperties>
</file>